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91" windowWidth="9720" windowHeight="6405" tabRatio="676" firstSheet="3" activeTab="3"/>
  </bookViews>
  <sheets>
    <sheet name="INCOME Y-T-Y" sheetId="1" state="hidden" r:id="rId1"/>
    <sheet name="(11) Balance Sheet-p1 (2-3)" sheetId="2" state="hidden" r:id="rId2"/>
    <sheet name="EXPENSES (p11)" sheetId="3" state="hidden" r:id="rId3"/>
    <sheet name="Balance Sheet-1" sheetId="4" r:id="rId4"/>
    <sheet name="Income Statement-2" sheetId="5" r:id="rId5"/>
    <sheet name="Equity QTD-3" sheetId="6" r:id="rId6"/>
    <sheet name="(9)Equity YTD4" sheetId="7" state="hidden" r:id="rId7"/>
    <sheet name="Earned Incurred QTD-4" sheetId="8" r:id="rId8"/>
    <sheet name="(8)Earned Incurred YTD6" sheetId="9" state="hidden" r:id="rId9"/>
    <sheet name="(7)Premiums YTD8" sheetId="10" state="hidden" r:id="rId10"/>
    <sheet name="Premiums QTD-5" sheetId="11" r:id="rId11"/>
    <sheet name="Losses Incurred QTD-6" sheetId="12" r:id="rId12"/>
    <sheet name="Loss Expenses QTD-7" sheetId="13" r:id="rId13"/>
    <sheet name="(6)Losses Incurred YTD-p1" sheetId="14" state="hidden" r:id="rId14"/>
    <sheet name="(6)Losses Incurred YTD10" sheetId="15" state="hidden" r:id="rId15"/>
    <sheet name="(4)Loss Expenses YTD12" sheetId="16" state="hidden" r:id="rId16"/>
    <sheet name="IBNR JE2" sheetId="17" state="hidden" r:id="rId17"/>
    <sheet name="(1)ULEP-YTD17" sheetId="18" state="hidden" r:id="rId18"/>
    <sheet name="Business Summary" sheetId="19" state="hidden" r:id="rId19"/>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xlnm.Print_Area" localSheetId="17">'(1)ULEP-YTD17'!$A$1:$G$55</definedName>
    <definedName name="_xlnm.Print_Area" localSheetId="1">'(11) Balance Sheet-p1 (2-3)'!$B$1:$I$47</definedName>
    <definedName name="_xlnm.Print_Area" localSheetId="15">'(4)Loss Expenses YTD12'!$A$1:$H$30</definedName>
    <definedName name="_xlnm.Print_Area" localSheetId="14">'(6)Losses Incurred YTD10'!$A$1:$H$38</definedName>
    <definedName name="_xlnm.Print_Area" localSheetId="13">'(6)Losses Incurred YTD-p1'!$A$1:$G$37</definedName>
    <definedName name="_xlnm.Print_Area" localSheetId="9">'(7)Premiums YTD8'!$A$1:$H$39</definedName>
    <definedName name="_xlnm.Print_Area" localSheetId="8">'(8)Earned Incurred YTD6'!$A$1:$D$54</definedName>
    <definedName name="_xlnm.Print_Area" localSheetId="6">'(9)Equity YTD4'!$A$1:$G$62</definedName>
    <definedName name="_xlnm.Print_Area" localSheetId="2">'EXPENSES (p11)'!$A$1:$T$76</definedName>
    <definedName name="_xlnm.Print_Area" localSheetId="16">'IBNR JE2'!$A$1:$E$25</definedName>
  </definedNames>
  <calcPr fullCalcOnLoad="1" iterate="1" iterateCount="50" iterateDelta="0.001"/>
</workbook>
</file>

<file path=xl/comments19.xml><?xml version="1.0" encoding="utf-8"?>
<comments xmlns="http://schemas.openxmlformats.org/spreadsheetml/2006/main">
  <authors>
    <author>njiua</author>
  </authors>
  <commentList>
    <comment ref="B28" authorId="0">
      <text>
        <r>
          <t/>
        </r>
      </text>
    </comment>
  </commentList>
</comments>
</file>

<file path=xl/sharedStrings.xml><?xml version="1.0" encoding="utf-8"?>
<sst xmlns="http://schemas.openxmlformats.org/spreadsheetml/2006/main" count="913" uniqueCount="488">
  <si>
    <t>51300-01-00-2002</t>
  </si>
  <si>
    <t>51300-02-00-2002</t>
  </si>
  <si>
    <t>4Q03</t>
  </si>
  <si>
    <t>4Q02</t>
  </si>
  <si>
    <t>CURRENT LOSS RESERVE (12-31-03)</t>
  </si>
  <si>
    <t>Q-T-D Period Ended December 31, 2003</t>
  </si>
  <si>
    <t>CURRENT LOSS EXPENSE RESERVE @ 12-31-03</t>
  </si>
  <si>
    <t>Description</t>
  </si>
  <si>
    <t>YTD PERIOD MARCH 31st, 2004</t>
  </si>
  <si>
    <t>YTD PERIOD ENDED MARCH 31st, 2004</t>
  </si>
  <si>
    <t>Control Total</t>
  </si>
  <si>
    <t>(Opposite Dr/Cr)</t>
  </si>
  <si>
    <t>QUICK JE:</t>
  </si>
  <si>
    <t xml:space="preserve">    ALLIED </t>
  </si>
  <si>
    <t xml:space="preserve">      ADVANCE PREMIUMS</t>
  </si>
  <si>
    <t>YEAR-TO-DATE</t>
  </si>
  <si>
    <t>%</t>
  </si>
  <si>
    <t>EXPLANATION</t>
  </si>
  <si>
    <t>TOTAL        I.B.N.R.</t>
  </si>
  <si>
    <t>Underwriting Gain (Loss)</t>
  </si>
  <si>
    <t>Net Gain (Loss)</t>
  </si>
  <si>
    <t>41000-91000</t>
  </si>
  <si>
    <t>Cost or depreciation of Fixed Assets:</t>
  </si>
  <si>
    <t>Audit of assureds' records - Insurance Dept.</t>
  </si>
  <si>
    <t>Legal, Auditing &amp; Consulting</t>
  </si>
  <si>
    <t>Add: unpaid expenses - prior year</t>
  </si>
  <si>
    <t>Per Earn/Incurred (p.5)</t>
  </si>
  <si>
    <t>Net Change in Reserves</t>
  </si>
  <si>
    <t>Differences</t>
  </si>
  <si>
    <t>51300-02-00-2001</t>
  </si>
  <si>
    <t>Assessment Net Change</t>
  </si>
  <si>
    <t>BATCH ID:</t>
  </si>
  <si>
    <t>2Q03</t>
  </si>
  <si>
    <t>22100-01-00-2003</t>
  </si>
  <si>
    <t>22100-02-00-2003</t>
  </si>
  <si>
    <t>22100-90-00-2003</t>
  </si>
  <si>
    <t>51120-01-00-2003</t>
  </si>
  <si>
    <t>Total TRIA</t>
  </si>
  <si>
    <t>1Q05</t>
  </si>
  <si>
    <t>*Note: The Terrorism Risk Insurance Act of 2002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five quarters:</t>
  </si>
  <si>
    <t>51120-02-00-2003</t>
  </si>
  <si>
    <t>51120-90-00-2003</t>
  </si>
  <si>
    <t>POLICY YEAR 2003</t>
  </si>
  <si>
    <t xml:space="preserve">     NET EQUITY - PRIOR</t>
  </si>
  <si>
    <t xml:space="preserve">     NET INVESTMENT INCOME </t>
  </si>
  <si>
    <t>After</t>
  </si>
  <si>
    <t>POLICY YEAR 2002</t>
  </si>
  <si>
    <t>22100-01-00-2002</t>
  </si>
  <si>
    <t>22100-02-00-2002</t>
  </si>
  <si>
    <t>22100-90-00-2002</t>
  </si>
  <si>
    <t>51120-01-00-2002</t>
  </si>
  <si>
    <t>51120-02-00-2002</t>
  </si>
  <si>
    <t>51120-90-00-2002</t>
  </si>
  <si>
    <t xml:space="preserve">IBNR Reserve.- Fire </t>
  </si>
  <si>
    <t xml:space="preserve">IBNR Reserve- Allied </t>
  </si>
  <si>
    <t xml:space="preserve">IBNR Reserve- Crime </t>
  </si>
  <si>
    <t>Chg in IBNR Res.- Fire</t>
  </si>
  <si>
    <t xml:space="preserve">Chg in IBNR Res.- Allied </t>
  </si>
  <si>
    <t xml:space="preserve">Chg in IBNR Res.- Crime </t>
  </si>
  <si>
    <t>Change in Reserve for Taxes &amp; Fees</t>
  </si>
  <si>
    <t>Net Taxes &amp; Fees Incurred</t>
  </si>
  <si>
    <t>Total</t>
  </si>
  <si>
    <t>Reviewed by:</t>
  </si>
  <si>
    <t>Ted Green - VP/Controller</t>
  </si>
  <si>
    <t>Paula Hicks - Senior Accountant</t>
  </si>
  <si>
    <t xml:space="preserve">2. Pension Plan </t>
  </si>
  <si>
    <t>1. Post-Retirement Benefits</t>
  </si>
  <si>
    <t>VARIANCES</t>
  </si>
  <si>
    <t xml:space="preserve">     LOSS - I.B.N.R</t>
  </si>
  <si>
    <t xml:space="preserve">     LOSS - CASE BASIS</t>
  </si>
  <si>
    <t xml:space="preserve">     OTHER CHARGES</t>
  </si>
  <si>
    <t xml:space="preserve">     PENSION OBLIGATIONS--SSAP #8</t>
  </si>
  <si>
    <t xml:space="preserve">      AMOUNTS HELD FOR OTHERS</t>
  </si>
  <si>
    <t xml:space="preserve">     LOSS EXPENSE- ALLOCATED</t>
  </si>
  <si>
    <t xml:space="preserve">     LOSS EXPENSE- UNALLOCATED</t>
  </si>
  <si>
    <t xml:space="preserve">This amount is off from trial balance because of 98 Accrued Interest error.  </t>
  </si>
  <si>
    <t>Less Salvage &amp; Subrogation</t>
  </si>
  <si>
    <t xml:space="preserve">      RETURN PREMIUMS</t>
  </si>
  <si>
    <t xml:space="preserve">      CLAIM CHECKS PAYABLE</t>
  </si>
  <si>
    <t>*SEE NOTE BELOW</t>
  </si>
  <si>
    <t>New  Jersey  Insurance  Underwriting  Association</t>
  </si>
  <si>
    <t>Financial Highlights</t>
  </si>
  <si>
    <t>( U n a u d i t e d )</t>
  </si>
  <si>
    <t>PREMIUM WRITTEN</t>
  </si>
  <si>
    <t>PREMIUMS EARNED</t>
  </si>
  <si>
    <t>LOSSES INCURRED</t>
  </si>
  <si>
    <t>CLAIM EXPENSES INCURRED</t>
  </si>
  <si>
    <t>EXPENSES INCURRED</t>
  </si>
  <si>
    <t>ADD INVESTMENT INCOME</t>
  </si>
  <si>
    <t>LOSS RATIO</t>
  </si>
  <si>
    <t>EXPENSE RATIO</t>
  </si>
  <si>
    <t>COMBINED RATIO</t>
  </si>
  <si>
    <t>.</t>
  </si>
  <si>
    <t>Commission</t>
  </si>
  <si>
    <t>(4)</t>
  </si>
  <si>
    <t>(5)</t>
  </si>
  <si>
    <t xml:space="preserve">     TAXES &amp; FEES </t>
  </si>
  <si>
    <t>POLICY YEAR 1999 &amp; PRIOR</t>
  </si>
  <si>
    <t xml:space="preserve">     TAXES &amp; FEES INCURRED</t>
  </si>
  <si>
    <t>Commissions Expense</t>
  </si>
  <si>
    <t>CURRENT RESERVES</t>
  </si>
  <si>
    <t>PRIOR RESERVES</t>
  </si>
  <si>
    <t xml:space="preserve">     ASSOCIATION EXPENSES </t>
  </si>
  <si>
    <t xml:space="preserve">      OTHER OPERATING EXP. PAYABLE</t>
  </si>
  <si>
    <t>G/L #22100</t>
  </si>
  <si>
    <t>18)</t>
  </si>
  <si>
    <t>19)</t>
  </si>
  <si>
    <t>20)</t>
  </si>
  <si>
    <t>24)</t>
  </si>
  <si>
    <t>25)</t>
  </si>
  <si>
    <t>26)</t>
  </si>
  <si>
    <t>27)</t>
  </si>
  <si>
    <t>30)</t>
  </si>
  <si>
    <t xml:space="preserve"> PRIOR YEAR</t>
  </si>
  <si>
    <t>|-----------Incurred Expenses-----------|</t>
  </si>
  <si>
    <t>OTHER UNDERWRITING EXPENSES:</t>
  </si>
  <si>
    <t>TOTALS INCURRED EXPENSES</t>
  </si>
  <si>
    <t>Reconciliation of Underwriting Expenses</t>
  </si>
  <si>
    <t>Rate filing increased</t>
  </si>
  <si>
    <t>1. Inspection and Rating - ISO</t>
  </si>
  <si>
    <t>2. Surveys and underwriting reports</t>
  </si>
  <si>
    <t>Total Expenses Incurred</t>
  </si>
  <si>
    <t>TOTAL UNDERWRITING EXP. INCURRED:</t>
  </si>
  <si>
    <t>Less: LAE Unallocate Expenses</t>
  </si>
  <si>
    <t>Total Operating Exp. Incurred</t>
  </si>
  <si>
    <t>3 employees eligible &amp; 5% increases</t>
  </si>
  <si>
    <t>Molding, terrorism and other enhancements</t>
  </si>
  <si>
    <t>Partners filing fees new in 2003 for 2002</t>
  </si>
  <si>
    <t>Accrual adjustments reduced to $20K/yr</t>
  </si>
  <si>
    <t>New package policy (directors &amp; officers)</t>
  </si>
  <si>
    <t>15% increases and 4qtr paid for legal (RB)</t>
  </si>
  <si>
    <t>G/L#Pg</t>
  </si>
  <si>
    <t>61100-05</t>
  </si>
  <si>
    <t>Pg. 13</t>
  </si>
  <si>
    <t>CURRENT YEAR</t>
  </si>
  <si>
    <t>PRIOR YEAR</t>
  </si>
  <si>
    <t xml:space="preserve">     NET EQUITY AT SEPTEMBER 30,</t>
  </si>
  <si>
    <t xml:space="preserve">      CLAIM LOSSES PAYABLE</t>
  </si>
  <si>
    <t xml:space="preserve">      LOSSES ADJUSTMENT EXPENSES PAYABLE</t>
  </si>
  <si>
    <t xml:space="preserve">      COMMISSIONS/RETURNED PREMIUMS PAYABLES</t>
  </si>
  <si>
    <t xml:space="preserve">      TAXES &amp; FEES </t>
  </si>
  <si>
    <t xml:space="preserve">     INVESTMENT INCOME DUE &amp; ACCRUED </t>
  </si>
  <si>
    <t>POLICY YEAR 2001</t>
  </si>
  <si>
    <t>Insurance</t>
  </si>
  <si>
    <r>
      <t xml:space="preserve">NET OPERATING PROFIT </t>
    </r>
    <r>
      <rPr>
        <b/>
        <sz val="11"/>
        <color indexed="10"/>
        <rFont val="Century Schoolbook"/>
        <family val="1"/>
      </rPr>
      <t>(LOSS)</t>
    </r>
  </si>
  <si>
    <t>Other Operating Exp. Paid</t>
  </si>
  <si>
    <t>Total Underwriting Exp. Paid</t>
  </si>
  <si>
    <t>Change in Other Underwriting Exp. Reserve</t>
  </si>
  <si>
    <t>Total Other Underwriting Exp. Incurred</t>
  </si>
  <si>
    <t>Total Loss &amp; Underwriting Exp. Incurred</t>
  </si>
  <si>
    <t>AT SEPTEMBER 30, 2003</t>
  </si>
  <si>
    <t>CURRENT LOSS RESERVE (09-30-03)</t>
  </si>
  <si>
    <t xml:space="preserve">     PREPAID/(ACCRUED) PENSION COST</t>
  </si>
  <si>
    <t xml:space="preserve">     PREPAID EXPENSES</t>
  </si>
  <si>
    <t xml:space="preserve">     SUNDRY RECEIVABLE</t>
  </si>
  <si>
    <t xml:space="preserve">      AMOUNTS WITHHELD FOR ACCOUNT OF OTHERS</t>
  </si>
  <si>
    <t xml:space="preserve">                            TOTAL LIABILITIES</t>
  </si>
  <si>
    <t xml:space="preserve">     LOSSES - CASE BASIS</t>
  </si>
  <si>
    <t xml:space="preserve">     LOSSES - I.B.N.R.</t>
  </si>
  <si>
    <t xml:space="preserve">     LOSS EXPENSES- ALLOCATED</t>
  </si>
  <si>
    <t xml:space="preserve">     LOSS EXPENSES- UNALLOCATED</t>
  </si>
  <si>
    <t>Expenses</t>
  </si>
  <si>
    <t>Loss Adjust.</t>
  </si>
  <si>
    <t>Underwriting</t>
  </si>
  <si>
    <t>Claim and Losses Adjustment Exp.</t>
  </si>
  <si>
    <t xml:space="preserve">Advertising </t>
  </si>
  <si>
    <t>Boards, bureaus and associations</t>
  </si>
  <si>
    <t>Salary and related items:</t>
  </si>
  <si>
    <t>1. Salaries</t>
  </si>
  <si>
    <t>2. Payroll Taxes</t>
  </si>
  <si>
    <t>CURRENT UNEARNED PREMIUM RESERVE  @ 12-31-03</t>
  </si>
  <si>
    <t>Directors' Fees</t>
  </si>
  <si>
    <t>Travel and travel items</t>
  </si>
  <si>
    <t>Rent and rent items</t>
  </si>
  <si>
    <t>Postage, telephone &amp; express</t>
  </si>
  <si>
    <t>Taxes, licenses and fees:</t>
  </si>
  <si>
    <t>Miscellaneous Expenses:</t>
  </si>
  <si>
    <t>1. Outside consulting fees</t>
  </si>
  <si>
    <t>2. Contribution to Charities</t>
  </si>
  <si>
    <t>TOTALS EXPENSES INCURRED</t>
  </si>
  <si>
    <t>Less: unpaid expenses - current year</t>
  </si>
  <si>
    <t>TOTAL EXPENSES PAID</t>
  </si>
  <si>
    <t>Equipment and Maintenance &amp; Repair</t>
  </si>
  <si>
    <t>3. Automation Cost</t>
  </si>
  <si>
    <t>Printing, supplies and stationery</t>
  </si>
  <si>
    <t>OTHER ADDITIONS TO EQUITY</t>
  </si>
  <si>
    <t xml:space="preserve">     EMPLOYER'S PENSION FUNDS</t>
  </si>
  <si>
    <t>Pg 8/13 &amp; PA2000S</t>
  </si>
  <si>
    <t>LOSS EXPENSE PAID BY QUARTER</t>
  </si>
  <si>
    <t>G/L #</t>
  </si>
  <si>
    <t>IBNR</t>
  </si>
  <si>
    <t>(Claim Dept. #50)</t>
  </si>
  <si>
    <t>Paula Hicks - Senior Accounting</t>
  </si>
  <si>
    <t>POLICY YEAR 2004</t>
  </si>
  <si>
    <t>BEFORE T/B</t>
  </si>
  <si>
    <t>ULE Paid - CIP</t>
  </si>
  <si>
    <t>Page 16 &amp; Dept. 50 T/B</t>
  </si>
  <si>
    <t>Net Investment Income Received</t>
  </si>
  <si>
    <t>Net Investment Income Earned</t>
  </si>
  <si>
    <t>SPREAD UNALLOC. LOSS EXP</t>
  </si>
  <si>
    <t xml:space="preserve">     ACCRUAL ADJUSTMENT</t>
  </si>
  <si>
    <t>PRIOR LOSS  EXPENSE RESERVE  @ 12-31-02</t>
  </si>
  <si>
    <t>PRIOR LOSS RESERVES (12-31-02)</t>
  </si>
  <si>
    <t>PRIOR UNEARNED PREMIUM RESERVE @ 12-31-02</t>
  </si>
  <si>
    <t>QUARTER-TO-DATE</t>
  </si>
  <si>
    <t>3Q03</t>
  </si>
  <si>
    <t>BALANCE SHEET</t>
  </si>
  <si>
    <t>LEDGER ASSETS</t>
  </si>
  <si>
    <t>NON-LEDGER ASSETS</t>
  </si>
  <si>
    <t>NON- ADMITTED ASSETS</t>
  </si>
  <si>
    <t>NET ADMITTED ASSETS</t>
  </si>
  <si>
    <t xml:space="preserve">     CASH &amp; SHORT TERM</t>
  </si>
  <si>
    <t xml:space="preserve">     INVESTMENTS</t>
  </si>
  <si>
    <t>POLICY YEAR 2000</t>
  </si>
  <si>
    <t>UNDERWRITING STATEMENT</t>
  </si>
  <si>
    <t>Other Underwriting Exp. Incurred</t>
  </si>
  <si>
    <t>Boards, Bureaus, &amp; Underwriting Inspections Paid</t>
  </si>
  <si>
    <t>Premium driven</t>
  </si>
  <si>
    <t>% Change</t>
  </si>
  <si>
    <t xml:space="preserve">ULE Paid - Fire </t>
  </si>
  <si>
    <t xml:space="preserve">ULE Paid - Allied </t>
  </si>
  <si>
    <t>51300-01-00-2001</t>
  </si>
  <si>
    <t>51300-90-00-2001</t>
  </si>
  <si>
    <t xml:space="preserve">QUARTER </t>
  </si>
  <si>
    <t>CURRENT</t>
  </si>
  <si>
    <t>PRIOR</t>
  </si>
  <si>
    <t xml:space="preserve">NET EQUITY AT SEPTEMBER 30, </t>
  </si>
  <si>
    <t>51300-01-00-2000</t>
  </si>
  <si>
    <t>51300-02-00-2000</t>
  </si>
  <si>
    <t>4. Bank Charges and other exp.</t>
  </si>
  <si>
    <t>Joan Reed - Staff Accountant</t>
  </si>
  <si>
    <t>Pg 13</t>
  </si>
  <si>
    <t>Y-T-D</t>
  </si>
  <si>
    <t>POLICY YEAR 1996 &amp; PRIOR</t>
  </si>
  <si>
    <t>51100+05+08-01</t>
  </si>
  <si>
    <t>51100+05+08-02</t>
  </si>
  <si>
    <t>51100+05+08-90</t>
  </si>
  <si>
    <t>1999 &amp; PRIOR</t>
  </si>
  <si>
    <t>IBNR Reserve.- Fire 2003</t>
  </si>
  <si>
    <t>IBNR Reserve - Allied 2003</t>
  </si>
  <si>
    <t>IBNR Reserve- Crime 2003</t>
  </si>
  <si>
    <t>Chg in IBNR Reserve- Fire 2003</t>
  </si>
  <si>
    <t>Chg in IBNR Reserve- Allied 2003</t>
  </si>
  <si>
    <t>Chg in IBNR Reserve- Crime 2003</t>
  </si>
  <si>
    <t xml:space="preserve">G/L #22100, Pg 13, PA02000S </t>
  </si>
  <si>
    <t>2Q03 IBNR Reserves</t>
  </si>
  <si>
    <t>PH2Q03IBNR</t>
  </si>
  <si>
    <t xml:space="preserve">Explanation: </t>
  </si>
  <si>
    <t>Calculation of IBNR</t>
  </si>
  <si>
    <t>Total IBNR Reserves</t>
  </si>
  <si>
    <t>Manually input</t>
  </si>
  <si>
    <t>NEW JERSEY INSURANCE UNDERWRITING ASSOCIATION</t>
  </si>
  <si>
    <t>TOTAL</t>
  </si>
  <si>
    <t>ASSETS</t>
  </si>
  <si>
    <t xml:space="preserve">     ACCRUED INTEREST</t>
  </si>
  <si>
    <t xml:space="preserve">     FURNITURE &amp; EQUIPMENT</t>
  </si>
  <si>
    <r>
      <t xml:space="preserve">UNDERWRITING PROFIT </t>
    </r>
    <r>
      <rPr>
        <b/>
        <sz val="11"/>
        <color indexed="10"/>
        <rFont val="Century Schoolbook"/>
        <family val="1"/>
      </rPr>
      <t>(LOSS)</t>
    </r>
  </si>
  <si>
    <t xml:space="preserve">     ELECTRONIC DATA PROCESSING EQUIP.</t>
  </si>
  <si>
    <t xml:space="preserve">     LEASEHOLD IMPROVEMENTS</t>
  </si>
  <si>
    <t xml:space="preserve">          TOTAL ASSETS</t>
  </si>
  <si>
    <t>LIABILITIES</t>
  </si>
  <si>
    <t xml:space="preserve"> </t>
  </si>
  <si>
    <t xml:space="preserve">          TOTAL LIABILITIES</t>
  </si>
  <si>
    <t>RESERVES</t>
  </si>
  <si>
    <t xml:space="preserve">     UNEARNED PREMIUMS</t>
  </si>
  <si>
    <t xml:space="preserve">     TAXES &amp; FEES</t>
  </si>
  <si>
    <t>TOTAL LIABILITIES &amp; RESERVES</t>
  </si>
  <si>
    <t>EQUITY ACCOUNT</t>
  </si>
  <si>
    <t>TOTAL LIABILITIES PLUS EQUITY ACCOUNT</t>
  </si>
  <si>
    <t xml:space="preserve"> INCOME STATEMENT</t>
  </si>
  <si>
    <t>INCURRED LOSSES (Excluding IBNR)</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</si>
  <si>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</si>
  <si>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</si>
  <si>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</si>
  <si>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</si>
  <si>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</si>
  <si>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</si>
  <si>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</si>
  <si>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TOTAL DEDUCTIONS</t>
  </si>
  <si>
    <t>OTHER INCOME</t>
  </si>
  <si>
    <t xml:space="preserve">     NET INVESTMENT INCOME</t>
  </si>
  <si>
    <t xml:space="preserve">     NET EQUITY-PRIOR</t>
  </si>
  <si>
    <t xml:space="preserve">     CHANGE IN NONADMITTED ASSETS</t>
  </si>
  <si>
    <t>CHANGE IN EQUITY</t>
  </si>
  <si>
    <t xml:space="preserve"> EQUITY ACCOUNT</t>
  </si>
  <si>
    <t>POLICY YEAR 1999</t>
  </si>
  <si>
    <t>INCOME RECEIVED</t>
  </si>
  <si>
    <t xml:space="preserve">      PREMIUMS WRITTEN</t>
  </si>
  <si>
    <t xml:space="preserve">      INVESTMENT INCOME RECEIVED</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</si>
  <si>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</si>
  <si>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</si>
  <si>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</si>
  <si>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</si>
  <si>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</si>
  <si>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</si>
  <si>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</si>
  <si>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COMMISSIONS</t>
  </si>
  <si>
    <t xml:space="preserve">     BOARDS &amp; BUREAUS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</si>
  <si>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</si>
  <si>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</si>
  <si>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</si>
  <si>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</si>
  <si>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</si>
  <si>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</si>
  <si>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</si>
  <si>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</si>
  <si>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</si>
  <si>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 xml:space="preserve">     UNPAID LOSSES</t>
  </si>
  <si>
    <t xml:space="preserve">     UNPAID LOSS EXPENSES</t>
  </si>
  <si>
    <t xml:space="preserve">     UNPAID ASSOCIATION EXPENSES</t>
  </si>
  <si>
    <t xml:space="preserve">     UNPAID TAXES &amp; FEES</t>
  </si>
  <si>
    <t xml:space="preserve">     UNPAID LOSSES EXPENSES</t>
  </si>
  <si>
    <t>NET CHANGE IN EQUITY</t>
  </si>
  <si>
    <t>EARNED/INCURRED BASIS</t>
  </si>
  <si>
    <t/>
  </si>
  <si>
    <t>Premiums Written</t>
  </si>
  <si>
    <t>Current Unearned Reserve</t>
  </si>
  <si>
    <t>Commercial</t>
  </si>
  <si>
    <t>1)</t>
  </si>
  <si>
    <t>2)</t>
  </si>
  <si>
    <t>4)</t>
  </si>
  <si>
    <t>5)</t>
  </si>
  <si>
    <t>6)</t>
  </si>
  <si>
    <t>7)</t>
  </si>
  <si>
    <t>8)</t>
  </si>
  <si>
    <t>9)</t>
  </si>
  <si>
    <t>10)</t>
  </si>
  <si>
    <t>11)</t>
  </si>
  <si>
    <t>12)</t>
  </si>
  <si>
    <t>13)</t>
  </si>
  <si>
    <t>14)</t>
  </si>
  <si>
    <t>15)</t>
  </si>
  <si>
    <t>16)</t>
  </si>
  <si>
    <t>17)</t>
  </si>
  <si>
    <t>Dollar(s)</t>
  </si>
  <si>
    <t>Prior Unearned Reserve</t>
  </si>
  <si>
    <t>Change in Unearned Premium Reserve</t>
  </si>
  <si>
    <t>Net Premium Earned</t>
  </si>
  <si>
    <t>Losses Paid</t>
  </si>
  <si>
    <t>Less Salvage</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</si>
  <si>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</si>
  <si>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</si>
  <si>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</si>
  <si>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</si>
  <si>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</si>
  <si>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</si>
  <si>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</si>
  <si>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</si>
  <si>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</si>
  <si>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</si>
  <si>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</si>
  <si>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</si>
  <si>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</si>
  <si>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</si>
  <si>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</si>
  <si>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</si>
  <si>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t>
  </si>
  <si>
    <t>Net Taxes Incurred</t>
  </si>
  <si>
    <t xml:space="preserve">Link to </t>
  </si>
  <si>
    <t>51100-05</t>
  </si>
  <si>
    <t>51110-51120</t>
  </si>
  <si>
    <t>51210+51310</t>
  </si>
  <si>
    <t>61100-61105</t>
  </si>
  <si>
    <t>62+63+65000</t>
  </si>
  <si>
    <t>71100-92000</t>
  </si>
  <si>
    <t>42000-42020</t>
  </si>
  <si>
    <t>42000-42020-12150</t>
  </si>
  <si>
    <t>51100 to 51130-01</t>
  </si>
  <si>
    <t>51100 to 51130-02</t>
  </si>
  <si>
    <t>51100 to 51130-90</t>
  </si>
  <si>
    <t>(51110-51120)</t>
  </si>
  <si>
    <t>Current Accrued Interest</t>
  </si>
  <si>
    <t>Prior Accrued Interest</t>
  </si>
  <si>
    <t>Change in Accrued Interest</t>
  </si>
  <si>
    <t>STATISTICAL REPORT ON PREMIUMS</t>
  </si>
  <si>
    <t>WRITTEN PREMIUMS</t>
  </si>
  <si>
    <t>FIRE</t>
  </si>
  <si>
    <t xml:space="preserve">ALLIED </t>
  </si>
  <si>
    <t>CRIME</t>
  </si>
  <si>
    <t xml:space="preserve">            TOTAL</t>
  </si>
  <si>
    <t>EARNED PREMIUM</t>
  </si>
  <si>
    <t xml:space="preserve">                            TOTAL RESERVES</t>
  </si>
  <si>
    <t xml:space="preserve"> UNDERWRITING GAIN (LOSS)</t>
  </si>
  <si>
    <t xml:space="preserve"> NET GAIN (LOSS)</t>
  </si>
  <si>
    <r>
      <t xml:space="preserve">     NET GAIN</t>
    </r>
    <r>
      <rPr>
        <sz val="11"/>
        <color indexed="10"/>
        <rFont val="Century Schoolbook"/>
        <family val="1"/>
      </rPr>
      <t xml:space="preserve"> </t>
    </r>
    <r>
      <rPr>
        <sz val="11"/>
        <rFont val="Century Schoolbook"/>
        <family val="1"/>
      </rPr>
      <t>(LOSS) FOR PERIOD</t>
    </r>
  </si>
  <si>
    <t xml:space="preserve"> STATISTICAL REPORT ON LOSSES</t>
  </si>
  <si>
    <t xml:space="preserve">PAID LOSSES </t>
  </si>
  <si>
    <t>Net of Salvage and Subrogation Received</t>
  </si>
  <si>
    <t xml:space="preserve">      FIRE</t>
  </si>
  <si>
    <t xml:space="preserve">     ALLIED </t>
  </si>
  <si>
    <t xml:space="preserve">     CRIME</t>
  </si>
  <si>
    <t xml:space="preserve">       FIRE</t>
  </si>
  <si>
    <t xml:space="preserve">       ALLIED </t>
  </si>
  <si>
    <t xml:space="preserve">       CRIME</t>
  </si>
  <si>
    <t>INCURRED LOSSES</t>
  </si>
  <si>
    <t>I.B.N.R. (INCL. IN CURRENT RESERVES)</t>
  </si>
  <si>
    <t>STATISTICAL REPORT ON LOSS EXPENSES</t>
  </si>
  <si>
    <t>(INCLUDES ALLOCATED AND UNALLOCATED LOSS EXPENSES)</t>
  </si>
  <si>
    <t>LOSS EXPENSES PAID              (ALAE AND ULAE)</t>
  </si>
  <si>
    <t>ALLIED</t>
  </si>
  <si>
    <t>ALE &amp; UALE LOSS                  EXPENSES  INCURRED</t>
  </si>
  <si>
    <t xml:space="preserve">    FIRE</t>
  </si>
  <si>
    <t xml:space="preserve">    CRIME</t>
  </si>
  <si>
    <t xml:space="preserve">       TOTAL</t>
  </si>
  <si>
    <t>ACTUAL</t>
  </si>
  <si>
    <t>CURRENT G/L</t>
  </si>
  <si>
    <t>NET CHANGE</t>
  </si>
  <si>
    <t>NJIUA Fair Plan</t>
  </si>
  <si>
    <t>Journal Entry Voucher</t>
  </si>
  <si>
    <t>Trans.</t>
  </si>
  <si>
    <t>Date</t>
  </si>
  <si>
    <t>Account No.</t>
  </si>
  <si>
    <t>A/C Description</t>
  </si>
  <si>
    <t>Dr.</t>
  </si>
  <si>
    <t>Cr.</t>
  </si>
  <si>
    <t>Totals</t>
  </si>
  <si>
    <t>Reference:</t>
  </si>
  <si>
    <t>Prepared by:</t>
  </si>
  <si>
    <t>Approved by:</t>
  </si>
  <si>
    <t>Ted Green-Controller</t>
  </si>
  <si>
    <t>Input by:</t>
  </si>
  <si>
    <t>JE #</t>
  </si>
  <si>
    <t xml:space="preserve">     ASSOCIATION EXPENSES ACCRUED</t>
  </si>
  <si>
    <t>(p3)</t>
  </si>
  <si>
    <t>(p2)</t>
  </si>
  <si>
    <t>Employee relations and welfare - Others</t>
  </si>
  <si>
    <t>Quarter Ending Dec. 31,</t>
  </si>
  <si>
    <t>Twelve Months Ending Dec. 31,</t>
  </si>
  <si>
    <t>Increase/(Decrease)</t>
  </si>
  <si>
    <t>INCURRED LOSSES (Including IBNR)</t>
  </si>
  <si>
    <t xml:space="preserve">I.B.N.R. - Increase/(Decrease) </t>
  </si>
  <si>
    <t>*Note: The Terrorism Risk Insurance Act of 2002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four quarters:</t>
  </si>
  <si>
    <t>1-4 Family Tenant-Occupied</t>
  </si>
  <si>
    <t>Total Commercial Earned Premium</t>
  </si>
  <si>
    <t>1Q03</t>
  </si>
  <si>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</si>
  <si>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Board Bureaus &amp; Inspections Paid</t>
  </si>
  <si>
    <t xml:space="preserve">      POST RETIREMENT BENEFITS (other than pensions)</t>
  </si>
  <si>
    <t xml:space="preserve">      DEFINED BENEFIT PENSION PLAN</t>
  </si>
  <si>
    <t>ALLOC. LOSS EXP. PAID</t>
  </si>
  <si>
    <t>PAID LOSSES</t>
  </si>
  <si>
    <t>PAID LOSS %</t>
  </si>
  <si>
    <t>TOTAL LOSS EXP PAID</t>
  </si>
  <si>
    <t xml:space="preserve">     FIRE</t>
  </si>
  <si>
    <t xml:space="preserve">     ALLIED</t>
  </si>
  <si>
    <t>GR. TOTAL</t>
  </si>
  <si>
    <t>allocate unallocated loss expense to Line of busines and year based on % of paid losses</t>
  </si>
  <si>
    <t>51300-01-00-1999</t>
  </si>
  <si>
    <t xml:space="preserve">      OTHER PAYABLES</t>
  </si>
  <si>
    <t>91000-00-50-0000</t>
  </si>
  <si>
    <t>Contra-Reallocate Claims</t>
  </si>
  <si>
    <t>Akleema Satar - Accountant</t>
  </si>
  <si>
    <t>BID:</t>
  </si>
  <si>
    <t>Explanation:</t>
  </si>
  <si>
    <t>QTR-ULEP</t>
  </si>
  <si>
    <t xml:space="preserve">3Q02 ULE Paid - QTD </t>
  </si>
  <si>
    <t>ULEP3Q02PH</t>
  </si>
  <si>
    <t>Commissions Expense Paid</t>
  </si>
  <si>
    <t xml:space="preserve">         TOTAL DEDUCTIONS</t>
  </si>
  <si>
    <t xml:space="preserve">Underwriting Gain </t>
  </si>
  <si>
    <t xml:space="preserve">Net Gain </t>
  </si>
  <si>
    <t xml:space="preserve"> UNDERWRITING GAIN </t>
  </si>
  <si>
    <t xml:space="preserve"> NET GAIN </t>
  </si>
  <si>
    <r>
      <t xml:space="preserve">     NET GAIN</t>
    </r>
    <r>
      <rPr>
        <sz val="11"/>
        <rFont val="Century Schoolbook"/>
        <family val="1"/>
      </rPr>
      <t xml:space="preserve"> FOR PERIOD</t>
    </r>
  </si>
  <si>
    <t>LOSS EXPENSES PAID                                     (ALAE AND ULAE)</t>
  </si>
  <si>
    <t>POLICY YEAR 2005</t>
  </si>
  <si>
    <t>POLICY YEAR 2001 &amp; PRIOR</t>
  </si>
  <si>
    <t>CURRENT CASE BASIS RESERVES (3-31-05)</t>
  </si>
  <si>
    <t>CURRENT I.B.N.R. RESERVES (3-31-05)</t>
  </si>
  <si>
    <t>PRIOR LOSS RESERVES (12-31-04)</t>
  </si>
  <si>
    <t>3-31-05</t>
  </si>
  <si>
    <t>QTD PERIOD ENDED MARCH 31, 2005</t>
  </si>
  <si>
    <t>AT MARCH 31, 2005</t>
  </si>
  <si>
    <t>NET EQUITY AT MARCH 31,  2005</t>
  </si>
  <si>
    <t xml:space="preserve">     NET EQUITY AT MARCH 31, 2005</t>
  </si>
  <si>
    <t>Net of Salvage &amp; Subrogation Received</t>
  </si>
  <si>
    <t>(Including I.B.N.R. Reserves)</t>
  </si>
  <si>
    <t>CURRENT LOSS EXPENSE RESERVES @ 3-31-05</t>
  </si>
  <si>
    <t>PRIOR LOSS  EXPENSE RESERVES @ 12-31-04</t>
  </si>
  <si>
    <t>ALAE &amp; ULAE LOSS EXPENSES INCURRED</t>
  </si>
  <si>
    <r>
      <t xml:space="preserve">                                           </t>
    </r>
    <r>
      <rPr>
        <b/>
        <sz val="9"/>
        <rFont val="Century Schoolbook"/>
        <family val="1"/>
      </rPr>
      <t xml:space="preserve">      1Q04</t>
    </r>
    <r>
      <rPr>
        <sz val="9"/>
        <rFont val="Century Schoolbook"/>
        <family val="1"/>
      </rPr>
      <t xml:space="preserve">       516,016</t>
    </r>
  </si>
  <si>
    <r>
      <t xml:space="preserve">                                                 </t>
    </r>
    <r>
      <rPr>
        <b/>
        <sz val="9"/>
        <rFont val="Century Schoolbook"/>
        <family val="1"/>
      </rPr>
      <t>2Q04</t>
    </r>
    <r>
      <rPr>
        <sz val="9"/>
        <rFont val="Century Schoolbook"/>
        <family val="1"/>
      </rPr>
      <t xml:space="preserve">       504,458</t>
    </r>
  </si>
  <si>
    <r>
      <t xml:space="preserve">                                                 </t>
    </r>
    <r>
      <rPr>
        <b/>
        <sz val="9"/>
        <rFont val="Century Schoolbook"/>
        <family val="1"/>
      </rPr>
      <t>3Q04</t>
    </r>
    <r>
      <rPr>
        <sz val="9"/>
        <rFont val="Century Schoolbook"/>
        <family val="1"/>
      </rPr>
      <t xml:space="preserve">       486,228</t>
    </r>
  </si>
  <si>
    <r>
      <t xml:space="preserve">                                                 </t>
    </r>
    <r>
      <rPr>
        <b/>
        <sz val="9"/>
        <rFont val="Century Schoolbook"/>
        <family val="1"/>
      </rPr>
      <t>4Q04</t>
    </r>
    <r>
      <rPr>
        <sz val="9"/>
        <rFont val="Century Schoolbook"/>
        <family val="1"/>
      </rPr>
      <t xml:space="preserve">       480,810</t>
    </r>
  </si>
  <si>
    <t>CURRENT UNEARNED PREMIUM RESERVE @ 3-31-05</t>
  </si>
  <si>
    <t>PRIOR UNEARNED PREMIUM RESERVE @ 12-31-04</t>
  </si>
  <si>
    <t xml:space="preserve">     CASH &amp; SHORT-TERM INVESTMENTS</t>
  </si>
  <si>
    <t xml:space="preserve">     EDP - EQUIPMENT &amp; SOFTWARE</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</si>
</sst>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m/dd/yy"/>
    <numFmt numFmtId="167" formatCode="&quot;$&quot;#,##0"/>
    <numFmt numFmtId="168" formatCode="mmmm\ d\,\ yyyy"/>
    <numFmt numFmtId="169" formatCode="_(* #,##0.00_);_(* \(#,##0.00\);_(* &quot;-&quot;_);_(@_)"/>
    <numFmt numFmtId="170" formatCode="#,##0.0_);[Red]\(#,##0.0\)"/>
    <numFmt numFmtId="171" formatCode="&quot;$&quot;#,##0.00"/>
    <numFmt numFmtId="172" formatCode="&quot;$&quot;#,##0.000_);\(&quot;$&quot;#,##0.000\)"/>
    <numFmt numFmtId="173" formatCode="&quot;$&quot;#,##0.0_);\(&quot;$&quot;#,##0.0\)"/>
    <numFmt numFmtId="174" formatCode="_(* #,##0.0_);_(* \(#,##0.0\);_(* &quot;-&quot;??_);_(@_)"/>
    <numFmt numFmtId="175" formatCode="_(* #,##0.000_);_(* \(#,##0.000\);_(* &quot;-&quot;??_);_(@_)"/>
    <numFmt numFmtId="176" formatCode="_(* #,##0.0_);_(* \(#,##0.0\);_(* &quot;-&quot;_);_(@_)"/>
    <numFmt numFmtId="177" formatCode="0.00000%"/>
    <numFmt numFmtId="178" formatCode="0.0"/>
    <numFmt numFmtId="179" formatCode="_(&quot;$&quot;* #,##0.0_);_(&quot;$&quot;* \(#,##0.0\);_(&quot;$&quot;* &quot;-&quot;??_);_(@_)"/>
    <numFmt numFmtId="180" formatCode="0.0%"/>
    <numFmt numFmtId="181" formatCode="#,##0.000_);[Red]\(#,##0.000\)"/>
    <numFmt numFmtId="182" formatCode="#,##0.0000_);[Red]\(#,##0.0000\)"/>
    <numFmt numFmtId="183" formatCode="#,##0_);[Red]\(#,##0_)"/>
    <numFmt numFmtId="184" formatCode="_(* #,##0.0_);_(* \(#,##0.0\);_(* &quot;-&quot;?_);_(@_)"/>
    <numFmt numFmtId="185" formatCode="#,##0.0000000000_);\(#,##0.0000000000\)"/>
    <numFmt numFmtId="186" formatCode="_(* #,##0.00000_);_(* \(#,##0.00000\);_(* &quot;-&quot;_);_(@_)"/>
    <numFmt numFmtId="187" formatCode="#,##0.000000000_);[Red]\(#,##0.000000000\)"/>
    <numFmt numFmtId="188" formatCode="#,##0.0"/>
    <numFmt numFmtId="189" formatCode="_(* #,##0.0000_);_(* \(#,##0.0000\);_(* &quot;-&quot;??_);_(@_)"/>
    <numFmt numFmtId="190" formatCode="&quot;$&quot;#,##0.000_);[Red]\(&quot;$&quot;#,##0.000\)"/>
    <numFmt numFmtId="191" formatCode="&quot;$&quot;#,##0.0_);[Red]\(&quot;$&quot;#,##0.0\)"/>
    <numFmt numFmtId="192" formatCode="#,##0.0_);\(#,##0.0\)"/>
    <numFmt numFmtId="193" formatCode="&quot;$&quot;#,##0.0"/>
    <numFmt numFmtId="194" formatCode="yyyy"/>
    <numFmt numFmtId="195" formatCode="m/d"/>
    <numFmt numFmtId="196" formatCode="#,##0.00000000_);\(#,##0.00000000\)"/>
    <numFmt numFmtId="197" formatCode="#,##0.0000000_);\(#,##0.0000000\)"/>
    <numFmt numFmtId="198" formatCode="#,##0.000000_);\(#,##0.000000\)"/>
    <numFmt numFmtId="199" formatCode="#,##0.00000_);\(#,##0.00000\)"/>
    <numFmt numFmtId="200" formatCode="#,##0.0000_);\(#,##0.0000\)"/>
    <numFmt numFmtId="201" formatCode="#,##0.000_);\(#,##0.000\)"/>
    <numFmt numFmtId="202" formatCode="_(* #,##0.000_);_(* \(#,##0.000\);_(* &quot;-&quot;_);_(@_)"/>
    <numFmt numFmtId="203" formatCode="0.000"/>
    <numFmt numFmtId="204" formatCode="0.0000"/>
    <numFmt numFmtId="205" formatCode="0.00000"/>
    <numFmt numFmtId="206" formatCode="_(* #,##0.0000_);_(* \(#,##0.0000\);_(* &quot;-&quot;_);_(@_)"/>
    <numFmt numFmtId="207" formatCode="_(* #,##0.000000_);_(* \(#,##0.000000\);_(* &quot;-&quot;_);_(@_)"/>
    <numFmt numFmtId="208" formatCode="_(* #,##0.0000000_);_(* \(#,##0.0000000\);_(* &quot;-&quot;_);_(@_)"/>
    <numFmt numFmtId="209" formatCode="_(&quot;$&quot;* #,##0.000_);_(&quot;$&quot;* \(#,##0.000\);_(&quot;$&quot;* &quot;-&quot;??_);_(@_)"/>
    <numFmt numFmtId="210" formatCode="#,##0.000000000_);\(#,##0.000000000\)"/>
    <numFmt numFmtId="211" formatCode="0_);[Red]\(0\)"/>
    <numFmt numFmtId="212" formatCode="0.00_);[Red]\(0.00\)"/>
    <numFmt numFmtId="213" formatCode="#,##0.0000000000_);[Red]\(#,##0.0000000000\)"/>
    <numFmt numFmtId="214" formatCode="\(0%\)"/>
    <numFmt numFmtId="215" formatCode="\-\(0%\)"/>
    <numFmt numFmtId="216" formatCode="#,##0.000000000000_);\(#,##0.000000000000\)"/>
    <numFmt numFmtId="217" formatCode="0.0000000000%"/>
    <numFmt numFmtId="218" formatCode="mmm\-yyyy"/>
    <numFmt numFmtId="219" formatCode="#,##0.000"/>
    <numFmt numFmtId="220" formatCode="0.0000%"/>
    <numFmt numFmtId="221" formatCode="#,##0.0000000000000_);\(#,##0.0000000000000\)"/>
    <numFmt numFmtId="222" formatCode="mmmm\-yy"/>
    <numFmt numFmtId="223" formatCode="_(* #,##0.0000_);_(* \(#,##0.0000\);_(* &quot;-&quot;????_);_(@_)"/>
    <numFmt numFmtId="224" formatCode="_(* #,##0.000_);_(* \(#,##0.000\);_(* &quot;-&quot;???_);_(@_)"/>
    <numFmt numFmtId="225" formatCode="_(* #,##0.00000_);_(* \(#,##0.00000\);_(* &quot;-&quot;??_);_(@_)"/>
    <numFmt numFmtId="226" formatCode="0.000%"/>
  </numFmts>
  <fonts count="68">
    <font>
      <sz val="10"/>
      <name val="Arial"/>
      <family val="0"/>
    </font>
    <font>
      <b/>
      <sz val="10"/>
      <name val="Arial"/>
      <family val="0"/>
    </font>
    <font>
      <i/>
      <sz val="10"/>
      <name val="Arial"/>
      <family val="0"/>
    </font>
    <font>
      <b/>
      <i/>
      <sz val="10"/>
      <name val="Arial"/>
      <family val="0"/>
    </font>
    <font>
      <b/>
      <sz val="14"/>
      <name val="Century Schoolbook"/>
      <family val="1"/>
    </font>
    <font>
      <sz val="10"/>
      <name val="Century Schoolbook"/>
      <family val="1"/>
    </font>
    <font>
      <sz val="12"/>
      <name val="Century Schoolbook"/>
      <family val="1"/>
    </font>
    <font>
      <b/>
      <sz val="12"/>
      <name val="Century Schoolbook"/>
      <family val="1"/>
    </font>
    <font>
      <b/>
      <sz val="10"/>
      <name val="Century Schoolbook"/>
      <family val="1"/>
    </font>
    <font>
      <b/>
      <u val="single"/>
      <sz val="10"/>
      <name val="Century Schoolbook"/>
      <family val="1"/>
    </font>
    <font>
      <b/>
      <sz val="11"/>
      <name val="Century Schoolbook"/>
      <family val="1"/>
    </font>
    <font>
      <b/>
      <sz val="17"/>
      <name val="Century Schoolbook"/>
      <family val="1"/>
    </font>
    <font>
      <b/>
      <sz val="15"/>
      <name val="Century Schoolbook"/>
      <family val="1"/>
    </font>
    <font>
      <b/>
      <sz val="13"/>
      <name val="Century Schoolbook"/>
      <family val="1"/>
    </font>
    <font>
      <sz val="11"/>
      <name val="Century Schoolbook"/>
      <family val="1"/>
    </font>
    <font>
      <b/>
      <sz val="11"/>
      <color indexed="8"/>
      <name val="Century Schoolbook"/>
      <family val="1"/>
    </font>
    <font>
      <b/>
      <u val="single"/>
      <sz val="11"/>
      <name val="Century Schoolbook"/>
      <family val="1"/>
    </font>
    <font>
      <b/>
      <sz val="16"/>
      <name val="Century Schoolbook"/>
      <family val="1"/>
    </font>
    <font>
      <b/>
      <sz val="18"/>
      <name val="Century Schoolbook"/>
      <family val="1"/>
    </font>
    <font>
      <sz val="15"/>
      <name val="Century Schoolbook"/>
      <family val="1"/>
    </font>
    <font>
      <sz val="13"/>
      <name val="Century Schoolbook"/>
      <family val="1"/>
    </font>
    <font>
      <b/>
      <sz val="10"/>
      <color indexed="8"/>
      <name val="Century Schoolbook"/>
      <family val="1"/>
    </font>
    <font>
      <sz val="10"/>
      <color indexed="8"/>
      <name val="Century Schoolbook"/>
      <family val="1"/>
    </font>
    <font>
      <u val="single"/>
      <sz val="11"/>
      <name val="Century Schoolbook"/>
      <family val="1"/>
    </font>
    <font>
      <b/>
      <sz val="10"/>
      <color indexed="9"/>
      <name val="Century Schoolbook"/>
      <family val="1"/>
    </font>
    <font>
      <b/>
      <sz val="12"/>
      <color indexed="8"/>
      <name val="Century Schoolbook"/>
      <family val="1"/>
    </font>
    <font>
      <sz val="12"/>
      <color indexed="9"/>
      <name val="Century Schoolbook"/>
      <family val="1"/>
    </font>
    <font>
      <sz val="10"/>
      <color indexed="10"/>
      <name val="Century Schoolbook"/>
      <family val="1"/>
    </font>
    <font>
      <b/>
      <sz val="10"/>
      <color indexed="10"/>
      <name val="Century Schoolbook"/>
      <family val="1"/>
    </font>
    <font>
      <sz val="11"/>
      <color indexed="10"/>
      <name val="Century Schoolbook"/>
      <family val="1"/>
    </font>
    <font>
      <b/>
      <sz val="11"/>
      <color indexed="9"/>
      <name val="Century Schoolbook"/>
      <family val="1"/>
    </font>
    <font>
      <sz val="11"/>
      <color indexed="9"/>
      <name val="Century Schoolbook"/>
      <family val="1"/>
    </font>
    <font>
      <b/>
      <u val="single"/>
      <sz val="9"/>
      <name val="Century Schoolbook"/>
      <family val="1"/>
    </font>
    <font>
      <sz val="11"/>
      <name val="CG Times"/>
      <family val="1"/>
    </font>
    <font>
      <b/>
      <sz val="11"/>
      <name val="CG Times"/>
      <family val="0"/>
    </font>
    <font>
      <sz val="11"/>
      <color indexed="8"/>
      <name val="Century Schoolbook"/>
      <family val="1"/>
    </font>
    <font>
      <b/>
      <sz val="10"/>
      <color indexed="56"/>
      <name val="Century Schoolbook"/>
      <family val="1"/>
    </font>
    <font>
      <sz val="16"/>
      <name val="Century Schoolbook"/>
      <family val="1"/>
    </font>
    <font>
      <sz val="9"/>
      <name val="Century Schoolbook"/>
      <family val="1"/>
    </font>
    <font>
      <b/>
      <sz val="16"/>
      <color indexed="8"/>
      <name val="Century Schoolbook"/>
      <family val="1"/>
    </font>
    <font>
      <u val="single"/>
      <sz val="10"/>
      <color indexed="12"/>
      <name val="Arial"/>
      <family val="0"/>
    </font>
    <font>
      <u val="single"/>
      <sz val="10"/>
      <color indexed="20"/>
      <name val="Arial"/>
      <family val="0"/>
    </font>
    <font>
      <sz val="10"/>
      <color indexed="9"/>
      <name val="Century Schoolbook"/>
      <family val="1"/>
    </font>
    <font>
      <b/>
      <sz val="20"/>
      <name val="Script MT Bold"/>
      <family val="4"/>
    </font>
    <font>
      <sz val="15"/>
      <color indexed="10"/>
      <name val="Century Schoolbook"/>
      <family val="1"/>
    </font>
    <font>
      <sz val="12"/>
      <color indexed="10"/>
      <name val="Century Schoolbook"/>
      <family val="1"/>
    </font>
    <font>
      <b/>
      <sz val="20"/>
      <name val="Century Schoolbook"/>
      <family val="1"/>
    </font>
    <font>
      <sz val="18"/>
      <name val="Century Schoolbook"/>
      <family val="1"/>
    </font>
    <font>
      <sz val="20"/>
      <name val="Century Schoolbook"/>
      <family val="1"/>
    </font>
    <font>
      <b/>
      <sz val="22"/>
      <name val="Century Schoolbook"/>
      <family val="1"/>
    </font>
    <font>
      <sz val="22"/>
      <name val="Century Schoolbook"/>
      <family val="1"/>
    </font>
    <font>
      <b/>
      <sz val="12"/>
      <color indexed="10"/>
      <name val="Century Schoolbook"/>
      <family val="1"/>
    </font>
    <font>
      <b/>
      <sz val="11"/>
      <color indexed="10"/>
      <name val="Century Schoolbook"/>
      <family val="1"/>
    </font>
    <font>
      <sz val="8"/>
      <name val="Tahoma"/>
      <family val="0"/>
    </font>
    <font>
      <sz val="10"/>
      <color indexed="12"/>
      <name val="Century Schoolbook"/>
      <family val="1"/>
    </font>
    <font>
      <sz val="12"/>
      <name val="Times New Roman"/>
      <family val="1"/>
    </font>
    <font>
      <sz val="20"/>
      <color indexed="9"/>
      <name val="Century Schoolbook"/>
      <family val="1"/>
    </font>
    <font>
      <sz val="15"/>
      <color indexed="9"/>
      <name val="Century Schoolbook"/>
      <family val="1"/>
    </font>
    <font>
      <b/>
      <sz val="12"/>
      <name val="Arial"/>
      <family val="2"/>
    </font>
    <font>
      <sz val="10"/>
      <color indexed="56"/>
      <name val="Arial"/>
      <family val="0"/>
    </font>
    <font>
      <b/>
      <sz val="10"/>
      <color indexed="56"/>
      <name val="Arial"/>
      <family val="0"/>
    </font>
    <font>
      <sz val="10"/>
      <color indexed="9"/>
      <name val="Arial"/>
      <family val="2"/>
    </font>
    <font>
      <sz val="10"/>
      <name val="Times New Roman"/>
      <family val="1"/>
    </font>
    <font>
      <b/>
      <u val="single"/>
      <sz val="10"/>
      <name val="Times New Roman"/>
      <family val="1"/>
    </font>
    <font>
      <b/>
      <sz val="10"/>
      <name val="Times New Roman"/>
      <family val="1"/>
    </font>
    <font>
      <b/>
      <i/>
      <sz val="11"/>
      <name val="Century Schoolbook"/>
      <family val="1"/>
    </font>
    <font>
      <b/>
      <sz val="9"/>
      <name val="Century Schoolbook"/>
      <family val="1"/>
    </font>
    <font>
      <b/>
      <sz val="8"/>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s>
  <borders count="36">
    <border>
      <left/>
      <right/>
      <top/>
      <bottom/>
      <diagonal/>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color indexed="63"/>
      </bottom>
    </border>
    <border>
      <left style="medium"/>
      <right>
        <color indexed="63"/>
      </right>
      <top>
        <color indexed="63"/>
      </top>
      <bottom style="thin"/>
    </border>
    <border>
      <left>
        <color indexed="63"/>
      </left>
      <right style="medium"/>
      <top>
        <color indexed="63"/>
      </top>
      <bottom>
        <color indexed="63"/>
      </bottom>
    </border>
    <border>
      <left>
        <color indexed="63"/>
      </left>
      <right style="medium"/>
      <top style="thin"/>
      <bottom style="double"/>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
      <left>
        <color indexed="63"/>
      </left>
      <right style="thin"/>
      <top style="medium"/>
      <bottom>
        <color indexed="63"/>
      </bottom>
    </border>
    <border>
      <left>
        <color indexed="63"/>
      </left>
      <right>
        <color indexed="63"/>
      </right>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9" fontId="0" fillId="0" borderId="0" applyFont="0" applyFill="0" applyBorder="0" applyAlignment="0" applyProtection="0"/>
  </cellStyleXfs>
  <cellXfs count="973">
    <xf numFmtId="0" fontId="0" fillId="0" borderId="0" xfId="0" applyAlignment="1">
      <alignment/>
    </xf>
    <xf numFmtId="0" fontId="4" fillId="0" borderId="0" xfId="0" applyFont="1" applyAlignment="1">
      <alignment horizontal="centerContinuous"/>
    </xf>
    <xf numFmtId="0" fontId="6" fillId="0" borderId="0" xfId="0" applyFont="1" applyAlignment="1">
      <alignment/>
    </xf>
    <xf numFmtId="0" fontId="7" fillId="2" borderId="0" xfId="0" applyFont="1" applyFill="1" applyAlignment="1">
      <alignment horizontal="center"/>
    </xf>
    <xf numFmtId="38" fontId="6" fillId="0" borderId="0" xfId="0" applyNumberFormat="1" applyFont="1" applyAlignment="1">
      <alignment/>
    </xf>
    <xf numFmtId="38" fontId="6" fillId="0" borderId="0" xfId="0" applyNumberFormat="1" applyFont="1" applyBorder="1" applyAlignment="1">
      <alignment/>
    </xf>
    <xf numFmtId="0" fontId="8" fillId="0" borderId="0" xfId="0" applyFont="1" applyAlignment="1">
      <alignment horizontal="centerContinuous"/>
    </xf>
    <xf numFmtId="38" fontId="5" fillId="0" borderId="0" xfId="0" applyNumberFormat="1" applyFont="1" applyAlignment="1">
      <alignment/>
    </xf>
    <xf numFmtId="41" fontId="5" fillId="0" borderId="0" xfId="0" applyNumberFormat="1" applyFont="1" applyAlignment="1">
      <alignment/>
    </xf>
    <xf numFmtId="0" fontId="7" fillId="0" borderId="0" xfId="0" applyFont="1" applyAlignment="1">
      <alignment horizontal="centerContinuous"/>
    </xf>
    <xf numFmtId="41" fontId="5" fillId="0" borderId="0" xfId="0" applyNumberFormat="1" applyFont="1" applyBorder="1" applyAlignment="1">
      <alignment/>
    </xf>
    <xf numFmtId="0" fontId="12" fillId="0" borderId="0" xfId="0" applyFont="1" applyAlignment="1">
      <alignment/>
    </xf>
    <xf numFmtId="0" fontId="13" fillId="0" borderId="0" xfId="0" applyFont="1" applyAlignment="1">
      <alignment/>
    </xf>
    <xf numFmtId="0" fontId="14" fillId="0" borderId="0" xfId="0" applyFont="1" applyFill="1" applyAlignment="1">
      <alignment/>
    </xf>
    <xf numFmtId="0" fontId="14" fillId="0" borderId="0" xfId="0" applyFont="1" applyAlignment="1">
      <alignment/>
    </xf>
    <xf numFmtId="42" fontId="14" fillId="0" borderId="0" xfId="18" applyFont="1" applyFill="1" applyAlignment="1">
      <alignment horizontal="right" wrapText="1"/>
    </xf>
    <xf numFmtId="0" fontId="14" fillId="0" borderId="0" xfId="0" applyFont="1" applyAlignment="1">
      <alignment horizontal="left"/>
    </xf>
    <xf numFmtId="0" fontId="14" fillId="0" borderId="0" xfId="0" applyFont="1" applyBorder="1" applyAlignment="1">
      <alignment horizontal="centerContinuous"/>
    </xf>
    <xf numFmtId="0" fontId="14" fillId="0" borderId="0" xfId="0" applyFont="1" applyBorder="1" applyAlignment="1">
      <alignment/>
    </xf>
    <xf numFmtId="0" fontId="4" fillId="0" borderId="0" xfId="0" applyFont="1" applyFill="1" applyAlignment="1">
      <alignment horizontal="centerContinuous"/>
    </xf>
    <xf numFmtId="0" fontId="4" fillId="0" borderId="0" xfId="0" applyFont="1" applyAlignment="1">
      <alignment/>
    </xf>
    <xf numFmtId="0" fontId="5" fillId="0" borderId="0" xfId="0" applyFont="1" applyBorder="1" applyAlignment="1">
      <alignment/>
    </xf>
    <xf numFmtId="0" fontId="14" fillId="0" borderId="0" xfId="0" applyFont="1" applyBorder="1" applyAlignment="1">
      <alignment horizontal="left"/>
    </xf>
    <xf numFmtId="38" fontId="14" fillId="0" borderId="0" xfId="0" applyNumberFormat="1" applyFont="1" applyBorder="1" applyAlignment="1">
      <alignment/>
    </xf>
    <xf numFmtId="38" fontId="14" fillId="0" borderId="0" xfId="0" applyNumberFormat="1" applyFont="1" applyAlignment="1">
      <alignment/>
    </xf>
    <xf numFmtId="5" fontId="14" fillId="0" borderId="0" xfId="0" applyNumberFormat="1" applyFont="1" applyBorder="1" applyAlignment="1">
      <alignment/>
    </xf>
    <xf numFmtId="0" fontId="5" fillId="0" borderId="0" xfId="0" applyFont="1" applyAlignment="1">
      <alignment horizontal="centerContinuous"/>
    </xf>
    <xf numFmtId="0" fontId="4" fillId="0" borderId="0" xfId="0" applyFont="1" applyAlignment="1">
      <alignment/>
    </xf>
    <xf numFmtId="38" fontId="20" fillId="0" borderId="0" xfId="0" applyNumberFormat="1" applyFont="1" applyFill="1" applyBorder="1" applyAlignment="1">
      <alignment horizontal="centerContinuous"/>
    </xf>
    <xf numFmtId="0" fontId="20" fillId="0" borderId="0" xfId="0" applyFont="1" applyFill="1" applyBorder="1" applyAlignment="1">
      <alignment/>
    </xf>
    <xf numFmtId="38" fontId="5" fillId="0" borderId="0" xfId="0" applyNumberFormat="1" applyFont="1" applyFill="1" applyBorder="1" applyAlignment="1">
      <alignment horizontal="centerContinuous"/>
    </xf>
    <xf numFmtId="0" fontId="5" fillId="0" borderId="0" xfId="0" applyFont="1" applyFill="1" applyBorder="1" applyAlignment="1">
      <alignment/>
    </xf>
    <xf numFmtId="0" fontId="8" fillId="0" borderId="0" xfId="0" applyFont="1" applyFill="1" applyBorder="1" applyAlignment="1">
      <alignment horizontal="left" wrapText="1"/>
    </xf>
    <xf numFmtId="38" fontId="22" fillId="3" borderId="0" xfId="0" applyNumberFormat="1" applyFont="1" applyFill="1" applyBorder="1" applyAlignment="1">
      <alignment wrapText="1"/>
    </xf>
    <xf numFmtId="0" fontId="5" fillId="0" borderId="0" xfId="0" applyFont="1" applyFill="1" applyBorder="1" applyAlignment="1">
      <alignment horizontal="left" wrapText="1"/>
    </xf>
    <xf numFmtId="6" fontId="5" fillId="0" borderId="0" xfId="0" applyNumberFormat="1" applyFont="1" applyFill="1" applyBorder="1" applyAlignment="1">
      <alignment/>
    </xf>
    <xf numFmtId="38" fontId="5" fillId="0" borderId="0" xfId="0" applyNumberFormat="1" applyFont="1" applyFill="1" applyBorder="1" applyAlignment="1">
      <alignment/>
    </xf>
    <xf numFmtId="164" fontId="5" fillId="0" borderId="0" xfId="0" applyNumberFormat="1" applyFont="1" applyFill="1" applyBorder="1" applyAlignment="1">
      <alignment/>
    </xf>
    <xf numFmtId="0" fontId="5" fillId="0" borderId="0" xfId="0" applyFont="1" applyFill="1" applyBorder="1" applyAlignment="1">
      <alignment horizontal="left"/>
    </xf>
    <xf numFmtId="164" fontId="8" fillId="0" borderId="0" xfId="0" applyNumberFormat="1" applyFont="1" applyFill="1" applyBorder="1" applyAlignment="1">
      <alignment/>
    </xf>
    <xf numFmtId="0" fontId="5" fillId="0" borderId="0" xfId="0" applyFont="1" applyFill="1" applyAlignment="1">
      <alignment horizontal="right"/>
    </xf>
    <xf numFmtId="0" fontId="5" fillId="0" borderId="0" xfId="0" applyFont="1" applyFill="1" applyAlignment="1">
      <alignment horizontal="right" wrapText="1"/>
    </xf>
    <xf numFmtId="0" fontId="5" fillId="0" borderId="0" xfId="0" applyFont="1" applyFill="1" applyAlignment="1">
      <alignment/>
    </xf>
    <xf numFmtId="6" fontId="5" fillId="0" borderId="0" xfId="0" applyNumberFormat="1" applyFont="1" applyFill="1" applyAlignment="1">
      <alignment horizontal="right"/>
    </xf>
    <xf numFmtId="38" fontId="5" fillId="0" borderId="0" xfId="0" applyNumberFormat="1" applyFont="1" applyFill="1" applyBorder="1" applyAlignment="1">
      <alignment horizontal="right"/>
    </xf>
    <xf numFmtId="0" fontId="6" fillId="0" borderId="0" xfId="0" applyFont="1" applyBorder="1" applyAlignment="1">
      <alignment/>
    </xf>
    <xf numFmtId="0" fontId="14" fillId="0" borderId="0" xfId="0" applyFont="1" applyBorder="1" applyAlignment="1">
      <alignment horizontal="right"/>
    </xf>
    <xf numFmtId="0" fontId="14" fillId="0" borderId="0" xfId="0" applyFont="1" applyBorder="1" applyAlignment="1">
      <alignment horizontal="left" wrapText="1"/>
    </xf>
    <xf numFmtId="6" fontId="14" fillId="0" borderId="0" xfId="0" applyNumberFormat="1" applyFont="1" applyBorder="1" applyAlignment="1">
      <alignment/>
    </xf>
    <xf numFmtId="0" fontId="5" fillId="0" borderId="0" xfId="0" applyFont="1" applyBorder="1" applyAlignment="1">
      <alignment wrapText="1"/>
    </xf>
    <xf numFmtId="0" fontId="19" fillId="0" borderId="0" xfId="0" applyFont="1" applyBorder="1" applyAlignment="1">
      <alignment/>
    </xf>
    <xf numFmtId="41" fontId="8" fillId="0" borderId="0" xfId="0" applyNumberFormat="1" applyFont="1" applyAlignment="1">
      <alignment horizontal="left"/>
    </xf>
    <xf numFmtId="41" fontId="5" fillId="0" borderId="0" xfId="0" applyNumberFormat="1" applyFont="1" applyAlignment="1">
      <alignment horizontal="left"/>
    </xf>
    <xf numFmtId="39" fontId="5" fillId="0" borderId="0" xfId="0" applyNumberFormat="1" applyFont="1" applyAlignment="1">
      <alignment/>
    </xf>
    <xf numFmtId="39" fontId="6" fillId="0" borderId="0" xfId="0" applyNumberFormat="1" applyFont="1" applyAlignment="1">
      <alignment/>
    </xf>
    <xf numFmtId="41" fontId="5" fillId="0" borderId="0" xfId="0" applyNumberFormat="1" applyFont="1" applyBorder="1" applyAlignment="1">
      <alignment horizontal="left"/>
    </xf>
    <xf numFmtId="41" fontId="5" fillId="0" borderId="0" xfId="0" applyNumberFormat="1" applyFont="1" applyFill="1" applyBorder="1" applyAlignment="1">
      <alignment wrapText="1"/>
    </xf>
    <xf numFmtId="41" fontId="8" fillId="0" borderId="0" xfId="0" applyNumberFormat="1" applyFont="1" applyFill="1" applyBorder="1" applyAlignment="1">
      <alignment horizontal="center" wrapText="1"/>
    </xf>
    <xf numFmtId="41" fontId="5" fillId="0" borderId="0" xfId="0" applyNumberFormat="1" applyFont="1" applyBorder="1" applyAlignment="1">
      <alignment horizontal="right" wrapText="1"/>
    </xf>
    <xf numFmtId="0" fontId="8" fillId="0" borderId="0" xfId="0" applyNumberFormat="1" applyFont="1" applyBorder="1" applyAlignment="1">
      <alignment horizontal="left"/>
    </xf>
    <xf numFmtId="41" fontId="5" fillId="0" borderId="0" xfId="0" applyNumberFormat="1" applyFont="1" applyAlignment="1">
      <alignment horizontal="right" wrapText="1"/>
    </xf>
    <xf numFmtId="41" fontId="8" fillId="0" borderId="0" xfId="0" applyNumberFormat="1" applyFont="1" applyAlignment="1">
      <alignment horizontal="left" wrapText="1"/>
    </xf>
    <xf numFmtId="41" fontId="5" fillId="0" borderId="0" xfId="0" applyNumberFormat="1" applyFont="1" applyAlignment="1">
      <alignment horizontal="centerContinuous" wrapText="1"/>
    </xf>
    <xf numFmtId="41" fontId="5" fillId="0" borderId="0" xfId="0" applyNumberFormat="1" applyFont="1" applyAlignment="1">
      <alignment horizontal="right"/>
    </xf>
    <xf numFmtId="41" fontId="5" fillId="0" borderId="0" xfId="0" applyNumberFormat="1" applyFont="1" applyBorder="1" applyAlignment="1">
      <alignment horizontal="right"/>
    </xf>
    <xf numFmtId="41" fontId="5" fillId="0" borderId="1" xfId="0" applyNumberFormat="1" applyFont="1" applyBorder="1" applyAlignment="1">
      <alignment/>
    </xf>
    <xf numFmtId="41" fontId="8" fillId="0" borderId="1" xfId="0" applyNumberFormat="1" applyFont="1" applyBorder="1" applyAlignment="1">
      <alignment/>
    </xf>
    <xf numFmtId="41" fontId="8" fillId="0" borderId="0" xfId="0" applyNumberFormat="1" applyFont="1" applyBorder="1" applyAlignment="1">
      <alignment/>
    </xf>
    <xf numFmtId="41" fontId="8" fillId="2" borderId="1" xfId="0" applyNumberFormat="1" applyFont="1" applyFill="1" applyBorder="1" applyAlignment="1">
      <alignment/>
    </xf>
    <xf numFmtId="41" fontId="8" fillId="2" borderId="0" xfId="0" applyNumberFormat="1" applyFont="1" applyFill="1" applyBorder="1" applyAlignment="1">
      <alignment/>
    </xf>
    <xf numFmtId="14" fontId="5" fillId="0" borderId="1" xfId="0" applyNumberFormat="1" applyFont="1" applyBorder="1" applyAlignment="1">
      <alignment/>
    </xf>
    <xf numFmtId="39" fontId="5" fillId="0" borderId="0" xfId="0" applyNumberFormat="1" applyFont="1" applyBorder="1" applyAlignment="1">
      <alignment/>
    </xf>
    <xf numFmtId="41" fontId="8" fillId="0" borderId="2" xfId="0" applyNumberFormat="1" applyFont="1" applyBorder="1" applyAlignment="1">
      <alignment/>
    </xf>
    <xf numFmtId="41" fontId="8" fillId="0" borderId="3" xfId="0" applyNumberFormat="1" applyFont="1" applyBorder="1" applyAlignment="1">
      <alignment/>
    </xf>
    <xf numFmtId="0" fontId="5" fillId="0" borderId="0" xfId="0" applyNumberFormat="1" applyFont="1" applyBorder="1" applyAlignment="1">
      <alignment horizontal="left"/>
    </xf>
    <xf numFmtId="40" fontId="7" fillId="0" borderId="0" xfId="0" applyNumberFormat="1" applyFont="1" applyBorder="1" applyAlignment="1">
      <alignment horizontal="center"/>
    </xf>
    <xf numFmtId="40" fontId="6" fillId="0" borderId="0" xfId="0" applyNumberFormat="1" applyFont="1" applyBorder="1" applyAlignment="1">
      <alignment/>
    </xf>
    <xf numFmtId="0" fontId="7" fillId="0" borderId="4" xfId="0" applyFont="1" applyBorder="1" applyAlignment="1">
      <alignment horizontal="center"/>
    </xf>
    <xf numFmtId="40" fontId="7" fillId="0" borderId="4" xfId="0" applyNumberFormat="1" applyFont="1" applyBorder="1" applyAlignment="1">
      <alignment horizontal="center"/>
    </xf>
    <xf numFmtId="40" fontId="7" fillId="0" borderId="0" xfId="0" applyNumberFormat="1" applyFont="1" applyBorder="1" applyAlignment="1">
      <alignment/>
    </xf>
    <xf numFmtId="37" fontId="6" fillId="0" borderId="0" xfId="0" applyNumberFormat="1" applyFont="1" applyBorder="1" applyAlignment="1">
      <alignment/>
    </xf>
    <xf numFmtId="38" fontId="6" fillId="0" borderId="0" xfId="0" applyNumberFormat="1" applyFont="1" applyBorder="1" applyAlignment="1">
      <alignment horizontal="left"/>
    </xf>
    <xf numFmtId="0" fontId="25" fillId="2" borderId="0" xfId="0" applyFont="1" applyFill="1" applyBorder="1" applyAlignment="1">
      <alignment horizontal="center"/>
    </xf>
    <xf numFmtId="38" fontId="25" fillId="2" borderId="0" xfId="0" applyNumberFormat="1" applyFont="1" applyFill="1" applyBorder="1" applyAlignment="1">
      <alignment horizontal="center"/>
    </xf>
    <xf numFmtId="40" fontId="6" fillId="2" borderId="0" xfId="0" applyNumberFormat="1" applyFont="1" applyFill="1" applyBorder="1" applyAlignment="1">
      <alignment/>
    </xf>
    <xf numFmtId="0" fontId="6" fillId="2" borderId="0" xfId="0" applyFont="1" applyFill="1" applyBorder="1" applyAlignment="1">
      <alignment/>
    </xf>
    <xf numFmtId="1" fontId="25" fillId="0" borderId="0" xfId="0" applyNumberFormat="1" applyFont="1" applyBorder="1" applyAlignment="1">
      <alignment/>
    </xf>
    <xf numFmtId="1" fontId="25" fillId="0" borderId="0" xfId="0" applyNumberFormat="1" applyFont="1" applyBorder="1" applyAlignment="1">
      <alignment horizontal="right"/>
    </xf>
    <xf numFmtId="38" fontId="6" fillId="0" borderId="0" xfId="0" applyNumberFormat="1" applyFont="1" applyAlignment="1">
      <alignment horizontal="right"/>
    </xf>
    <xf numFmtId="38" fontId="7" fillId="0" borderId="0" xfId="0" applyNumberFormat="1" applyFont="1" applyBorder="1" applyAlignment="1" quotePrefix="1">
      <alignment horizontal="centerContinuous"/>
    </xf>
    <xf numFmtId="43" fontId="6" fillId="0" borderId="0" xfId="0" applyNumberFormat="1" applyFont="1" applyAlignment="1">
      <alignment/>
    </xf>
    <xf numFmtId="0" fontId="7" fillId="0" borderId="0" xfId="0" applyFont="1" applyBorder="1" applyAlignment="1">
      <alignment/>
    </xf>
    <xf numFmtId="1" fontId="6" fillId="0" borderId="0" xfId="0" applyNumberFormat="1" applyFont="1" applyAlignment="1">
      <alignment/>
    </xf>
    <xf numFmtId="37" fontId="6" fillId="0" borderId="0" xfId="0" applyNumberFormat="1" applyFont="1" applyAlignment="1">
      <alignment horizontal="right"/>
    </xf>
    <xf numFmtId="41" fontId="8" fillId="0" borderId="0" xfId="0" applyNumberFormat="1" applyFont="1" applyAlignment="1">
      <alignment/>
    </xf>
    <xf numFmtId="0" fontId="10" fillId="0" borderId="0" xfId="0" applyFont="1" applyAlignment="1">
      <alignment/>
    </xf>
    <xf numFmtId="0" fontId="14" fillId="0" borderId="0" xfId="0" applyFont="1" applyAlignment="1">
      <alignment horizontal="right"/>
    </xf>
    <xf numFmtId="5" fontId="14" fillId="0" borderId="0" xfId="0" applyNumberFormat="1" applyFont="1" applyAlignment="1">
      <alignment horizontal="right"/>
    </xf>
    <xf numFmtId="0" fontId="19" fillId="0" borderId="0" xfId="0" applyFont="1" applyAlignment="1">
      <alignment/>
    </xf>
    <xf numFmtId="0" fontId="10" fillId="0" borderId="0" xfId="0" applyFont="1" applyAlignment="1">
      <alignment horizontal="left" wrapText="1"/>
    </xf>
    <xf numFmtId="0" fontId="6" fillId="0" borderId="0" xfId="0" applyFont="1" applyAlignment="1">
      <alignment horizontal="right"/>
    </xf>
    <xf numFmtId="38" fontId="31" fillId="0" borderId="0" xfId="0" applyNumberFormat="1" applyFont="1" applyFill="1" applyAlignment="1">
      <alignment horizontal="right"/>
    </xf>
    <xf numFmtId="0" fontId="4" fillId="4" borderId="0" xfId="0" applyFont="1" applyFill="1" applyBorder="1" applyAlignment="1" applyProtection="1">
      <alignment horizontal="centerContinuous"/>
      <protection locked="0"/>
    </xf>
    <xf numFmtId="0" fontId="20" fillId="0" borderId="0" xfId="0" applyFont="1" applyBorder="1" applyAlignment="1">
      <alignment/>
    </xf>
    <xf numFmtId="0" fontId="10" fillId="4" borderId="0" xfId="0" applyFont="1" applyFill="1" applyBorder="1" applyAlignment="1" applyProtection="1">
      <alignment/>
      <protection locked="0"/>
    </xf>
    <xf numFmtId="0" fontId="10" fillId="4" borderId="0" xfId="0" applyFont="1" applyFill="1" applyBorder="1" applyAlignment="1" applyProtection="1">
      <alignment horizontal="left"/>
      <protection locked="0"/>
    </xf>
    <xf numFmtId="0" fontId="14" fillId="4" borderId="0" xfId="0" applyFont="1" applyFill="1" applyBorder="1" applyAlignment="1" applyProtection="1">
      <alignment/>
      <protection locked="0"/>
    </xf>
    <xf numFmtId="41" fontId="14" fillId="4" borderId="0" xfId="0" applyNumberFormat="1" applyFont="1" applyFill="1" applyBorder="1" applyAlignment="1" applyProtection="1">
      <alignment/>
      <protection locked="0"/>
    </xf>
    <xf numFmtId="0" fontId="10" fillId="4" borderId="0" xfId="0" applyFont="1" applyFill="1" applyBorder="1" applyAlignment="1" applyProtection="1">
      <alignment horizontal="center"/>
      <protection locked="0"/>
    </xf>
    <xf numFmtId="8" fontId="14" fillId="0" borderId="0" xfId="0" applyNumberFormat="1" applyFont="1" applyBorder="1" applyAlignment="1">
      <alignment/>
    </xf>
    <xf numFmtId="6" fontId="10" fillId="0" borderId="0" xfId="0" applyNumberFormat="1" applyFont="1" applyBorder="1" applyAlignment="1">
      <alignment horizontal="right"/>
    </xf>
    <xf numFmtId="38" fontId="14" fillId="0" borderId="0" xfId="0" applyNumberFormat="1" applyFont="1" applyBorder="1" applyAlignment="1">
      <alignment horizontal="right"/>
    </xf>
    <xf numFmtId="38" fontId="10" fillId="0" borderId="0" xfId="0" applyNumberFormat="1" applyFont="1" applyAlignment="1">
      <alignment/>
    </xf>
    <xf numFmtId="5" fontId="14" fillId="0" borderId="0" xfId="0" applyNumberFormat="1" applyFont="1" applyBorder="1" applyAlignment="1">
      <alignment horizontal="right"/>
    </xf>
    <xf numFmtId="164" fontId="14" fillId="0" borderId="0" xfId="0" applyNumberFormat="1" applyFont="1" applyBorder="1" applyAlignment="1">
      <alignment/>
    </xf>
    <xf numFmtId="0" fontId="33" fillId="0" borderId="0" xfId="0" applyFont="1" applyBorder="1" applyAlignment="1">
      <alignment horizontal="left" wrapText="1"/>
    </xf>
    <xf numFmtId="38" fontId="5" fillId="0" borderId="0" xfId="0" applyNumberFormat="1" applyFont="1" applyFill="1" applyBorder="1" applyAlignment="1">
      <alignment/>
    </xf>
    <xf numFmtId="0" fontId="10" fillId="0" borderId="0" xfId="0" applyFont="1" applyBorder="1" applyAlignment="1">
      <alignment/>
    </xf>
    <xf numFmtId="41" fontId="8" fillId="0" borderId="0" xfId="0" applyNumberFormat="1" applyFont="1" applyAlignment="1">
      <alignment horizontal="centerContinuous" wrapText="1"/>
    </xf>
    <xf numFmtId="8" fontId="5" fillId="0" borderId="0" xfId="0" applyNumberFormat="1" applyFont="1" applyFill="1" applyBorder="1" applyAlignment="1">
      <alignment/>
    </xf>
    <xf numFmtId="37" fontId="14" fillId="0" borderId="0" xfId="0" applyNumberFormat="1" applyFont="1" applyBorder="1" applyAlignment="1">
      <alignment/>
    </xf>
    <xf numFmtId="0" fontId="33" fillId="0" borderId="0" xfId="0" applyFont="1" applyBorder="1" applyAlignment="1" quotePrefix="1">
      <alignment horizontal="left" wrapText="1"/>
    </xf>
    <xf numFmtId="164" fontId="14" fillId="0" borderId="0" xfId="15" applyNumberFormat="1" applyFont="1" applyBorder="1" applyAlignment="1">
      <alignment horizontal="right"/>
    </xf>
    <xf numFmtId="0" fontId="8" fillId="0" borderId="0" xfId="0" applyNumberFormat="1" applyFont="1" applyAlignment="1">
      <alignment horizontal="centerContinuous" wrapText="1"/>
    </xf>
    <xf numFmtId="0" fontId="8" fillId="0" borderId="0" xfId="0" applyNumberFormat="1" applyFont="1" applyAlignment="1">
      <alignment horizontal="center" wrapText="1"/>
    </xf>
    <xf numFmtId="0" fontId="8" fillId="0" borderId="0" xfId="0" applyNumberFormat="1" applyFont="1" applyAlignment="1">
      <alignment horizontal="center"/>
    </xf>
    <xf numFmtId="164" fontId="14" fillId="0" borderId="0" xfId="15" applyNumberFormat="1" applyFont="1" applyFill="1" applyAlignment="1">
      <alignment horizontal="right"/>
    </xf>
    <xf numFmtId="164" fontId="14" fillId="0" borderId="0" xfId="15" applyNumberFormat="1" applyFont="1" applyBorder="1" applyAlignment="1">
      <alignment/>
    </xf>
    <xf numFmtId="164" fontId="10" fillId="0" borderId="5" xfId="15" applyNumberFormat="1" applyFont="1" applyBorder="1" applyAlignment="1">
      <alignment horizontal="right"/>
    </xf>
    <xf numFmtId="164" fontId="10" fillId="0" borderId="6" xfId="15" applyNumberFormat="1" applyFont="1" applyBorder="1" applyAlignment="1">
      <alignment horizontal="right"/>
    </xf>
    <xf numFmtId="38" fontId="10" fillId="0" borderId="0" xfId="0" applyNumberFormat="1" applyFont="1" applyAlignment="1">
      <alignment horizontal="center"/>
    </xf>
    <xf numFmtId="6" fontId="10" fillId="0" borderId="0" xfId="0" applyNumberFormat="1" applyFont="1" applyAlignment="1">
      <alignment/>
    </xf>
    <xf numFmtId="10" fontId="10" fillId="0" borderId="0" xfId="21" applyNumberFormat="1" applyFont="1" applyAlignment="1">
      <alignment horizontal="right"/>
    </xf>
    <xf numFmtId="10" fontId="10" fillId="0" borderId="0" xfId="0" applyNumberFormat="1" applyFont="1" applyAlignment="1">
      <alignment horizontal="centerContinuous"/>
    </xf>
    <xf numFmtId="10" fontId="10" fillId="0" borderId="0" xfId="0" applyNumberFormat="1" applyFont="1" applyAlignment="1">
      <alignment/>
    </xf>
    <xf numFmtId="0" fontId="38" fillId="0" borderId="0" xfId="0" applyFont="1" applyAlignment="1">
      <alignment/>
    </xf>
    <xf numFmtId="39" fontId="8" fillId="0" borderId="0" xfId="0" applyNumberFormat="1" applyFont="1" applyAlignment="1">
      <alignment/>
    </xf>
    <xf numFmtId="0" fontId="31" fillId="0" borderId="0" xfId="0" applyFont="1" applyBorder="1" applyAlignment="1">
      <alignment/>
    </xf>
    <xf numFmtId="164" fontId="14" fillId="0" borderId="5" xfId="15" applyNumberFormat="1" applyFont="1" applyFill="1" applyBorder="1" applyAlignment="1">
      <alignment horizontal="right"/>
    </xf>
    <xf numFmtId="0" fontId="8" fillId="0" borderId="0" xfId="0" applyFont="1" applyBorder="1" applyAlignment="1">
      <alignment horizontal="center"/>
    </xf>
    <xf numFmtId="0" fontId="14" fillId="0" borderId="0" xfId="0" applyFont="1" applyAlignment="1">
      <alignment horizontal="centerContinuous"/>
    </xf>
    <xf numFmtId="0" fontId="10" fillId="0" borderId="0" xfId="0" applyFont="1" applyAlignment="1">
      <alignment horizontal="centerContinuous"/>
    </xf>
    <xf numFmtId="43" fontId="5" fillId="0" borderId="0" xfId="15" applyFont="1" applyAlignment="1">
      <alignment/>
    </xf>
    <xf numFmtId="38" fontId="8" fillId="0" borderId="0" xfId="0" applyNumberFormat="1" applyFont="1" applyFill="1" applyBorder="1" applyAlignment="1">
      <alignment/>
    </xf>
    <xf numFmtId="0" fontId="31" fillId="0" borderId="0" xfId="0" applyFont="1" applyBorder="1" applyAlignment="1">
      <alignment horizontal="left" wrapText="1"/>
    </xf>
    <xf numFmtId="164" fontId="14" fillId="0" borderId="4" xfId="15" applyNumberFormat="1" applyFont="1" applyBorder="1" applyAlignment="1">
      <alignment/>
    </xf>
    <xf numFmtId="37" fontId="8" fillId="0" borderId="0" xfId="0" applyNumberFormat="1" applyFont="1" applyBorder="1" applyAlignment="1">
      <alignment/>
    </xf>
    <xf numFmtId="43" fontId="14" fillId="0" borderId="0" xfId="15" applyFont="1" applyBorder="1" applyAlignment="1">
      <alignment horizontal="right"/>
    </xf>
    <xf numFmtId="43" fontId="14" fillId="0" borderId="0" xfId="15" applyFont="1" applyBorder="1" applyAlignment="1">
      <alignment/>
    </xf>
    <xf numFmtId="40" fontId="7" fillId="0" borderId="7" xfId="0" applyNumberFormat="1" applyFont="1" applyBorder="1" applyAlignment="1">
      <alignment horizontal="center"/>
    </xf>
    <xf numFmtId="40" fontId="6" fillId="0" borderId="7" xfId="0" applyNumberFormat="1" applyFont="1" applyBorder="1" applyAlignment="1">
      <alignment/>
    </xf>
    <xf numFmtId="0" fontId="6" fillId="0" borderId="1" xfId="0" applyFont="1" applyBorder="1" applyAlignment="1">
      <alignment horizontal="left"/>
    </xf>
    <xf numFmtId="40" fontId="6" fillId="0" borderId="0" xfId="0" applyNumberFormat="1" applyFont="1" applyBorder="1" applyAlignment="1">
      <alignment horizontal="centerContinuous"/>
    </xf>
    <xf numFmtId="2" fontId="6" fillId="0" borderId="0" xfId="0" applyNumberFormat="1" applyFont="1" applyBorder="1" applyAlignment="1">
      <alignment/>
    </xf>
    <xf numFmtId="0" fontId="7" fillId="0" borderId="1" xfId="0" applyFont="1" applyBorder="1" applyAlignment="1">
      <alignment/>
    </xf>
    <xf numFmtId="0" fontId="7" fillId="0" borderId="8" xfId="0" applyFont="1" applyBorder="1" applyAlignment="1">
      <alignment horizontal="center"/>
    </xf>
    <xf numFmtId="0" fontId="6" fillId="2" borderId="1" xfId="0" applyFont="1" applyFill="1" applyBorder="1" applyAlignment="1">
      <alignment/>
    </xf>
    <xf numFmtId="43" fontId="6" fillId="0" borderId="0" xfId="0" applyNumberFormat="1" applyFont="1" applyBorder="1" applyAlignment="1">
      <alignment horizontal="right"/>
    </xf>
    <xf numFmtId="43" fontId="6" fillId="0" borderId="0" xfId="0" applyNumberFormat="1" applyFont="1" applyAlignment="1">
      <alignment horizontal="right"/>
    </xf>
    <xf numFmtId="14" fontId="6" fillId="0" borderId="1" xfId="0" applyNumberFormat="1" applyFont="1" applyBorder="1" applyAlignment="1">
      <alignment/>
    </xf>
    <xf numFmtId="38" fontId="7" fillId="0" borderId="0" xfId="0" applyNumberFormat="1" applyFont="1" applyBorder="1" applyAlignment="1">
      <alignment/>
    </xf>
    <xf numFmtId="0" fontId="6" fillId="0" borderId="1" xfId="0" applyFont="1" applyBorder="1" applyAlignment="1">
      <alignment/>
    </xf>
    <xf numFmtId="38" fontId="7" fillId="0" borderId="0" xfId="0" applyNumberFormat="1" applyFont="1" applyBorder="1" applyAlignment="1">
      <alignment horizontal="right"/>
    </xf>
    <xf numFmtId="43" fontId="7" fillId="0" borderId="0" xfId="0" applyNumberFormat="1" applyFont="1" applyAlignment="1">
      <alignment horizontal="centerContinuous"/>
    </xf>
    <xf numFmtId="0" fontId="10" fillId="0" borderId="0" xfId="0" applyNumberFormat="1" applyFont="1" applyBorder="1" applyAlignment="1">
      <alignment horizontal="left"/>
    </xf>
    <xf numFmtId="43" fontId="7" fillId="0" borderId="0" xfId="0" applyNumberFormat="1" applyFont="1" applyAlignment="1">
      <alignment/>
    </xf>
    <xf numFmtId="43" fontId="6" fillId="0" borderId="0" xfId="0" applyNumberFormat="1" applyFont="1" applyBorder="1" applyAlignment="1">
      <alignment/>
    </xf>
    <xf numFmtId="43" fontId="7" fillId="0" borderId="0" xfId="0" applyNumberFormat="1" applyFont="1" applyBorder="1" applyAlignment="1">
      <alignment/>
    </xf>
    <xf numFmtId="41" fontId="43" fillId="0" borderId="2" xfId="0" applyNumberFormat="1" applyFont="1" applyBorder="1" applyAlignment="1">
      <alignment/>
    </xf>
    <xf numFmtId="40" fontId="5" fillId="0" borderId="0" xfId="0" applyNumberFormat="1" applyFont="1" applyBorder="1" applyAlignment="1">
      <alignment/>
    </xf>
    <xf numFmtId="0" fontId="6" fillId="0" borderId="0" xfId="15" applyNumberFormat="1" applyFont="1" applyBorder="1" applyAlignment="1">
      <alignment/>
    </xf>
    <xf numFmtId="164" fontId="6" fillId="0" borderId="0" xfId="0" applyNumberFormat="1" applyFont="1" applyAlignment="1">
      <alignment/>
    </xf>
    <xf numFmtId="164" fontId="6" fillId="0" borderId="0" xfId="15" applyNumberFormat="1" applyFont="1" applyAlignment="1">
      <alignment/>
    </xf>
    <xf numFmtId="169" fontId="5" fillId="0" borderId="0" xfId="0" applyNumberFormat="1" applyFont="1" applyBorder="1" applyAlignment="1">
      <alignment horizontal="right"/>
    </xf>
    <xf numFmtId="169" fontId="5" fillId="0" borderId="5" xfId="0" applyNumberFormat="1" applyFont="1" applyBorder="1" applyAlignment="1">
      <alignment horizontal="right"/>
    </xf>
    <xf numFmtId="169" fontId="5" fillId="0" borderId="0" xfId="0" applyNumberFormat="1" applyFont="1" applyAlignment="1">
      <alignment horizontal="right"/>
    </xf>
    <xf numFmtId="169" fontId="5" fillId="0" borderId="0" xfId="0" applyNumberFormat="1" applyFont="1" applyAlignment="1">
      <alignment horizontal="centerContinuous"/>
    </xf>
    <xf numFmtId="169" fontId="5" fillId="0" borderId="0" xfId="0" applyNumberFormat="1" applyFont="1" applyBorder="1" applyAlignment="1">
      <alignment/>
    </xf>
    <xf numFmtId="169" fontId="5" fillId="0" borderId="9" xfId="0" applyNumberFormat="1" applyFont="1" applyBorder="1" applyAlignment="1">
      <alignment/>
    </xf>
    <xf numFmtId="169" fontId="8" fillId="0" borderId="0" xfId="0" applyNumberFormat="1" applyFont="1" applyBorder="1" applyAlignment="1">
      <alignment/>
    </xf>
    <xf numFmtId="169" fontId="8" fillId="0" borderId="9" xfId="0" applyNumberFormat="1" applyFont="1" applyBorder="1" applyAlignment="1">
      <alignment/>
    </xf>
    <xf numFmtId="169" fontId="5" fillId="2" borderId="0" xfId="0" applyNumberFormat="1" applyFont="1" applyFill="1" applyBorder="1" applyAlignment="1">
      <alignment/>
    </xf>
    <xf numFmtId="169" fontId="8" fillId="2" borderId="9" xfId="0" applyNumberFormat="1" applyFont="1" applyFill="1" applyBorder="1" applyAlignment="1">
      <alignment/>
    </xf>
    <xf numFmtId="169" fontId="8" fillId="0" borderId="6" xfId="0" applyNumberFormat="1" applyFont="1" applyBorder="1" applyAlignment="1">
      <alignment/>
    </xf>
    <xf numFmtId="169" fontId="8" fillId="0" borderId="10" xfId="0" applyNumberFormat="1" applyFont="1" applyBorder="1" applyAlignment="1">
      <alignment/>
    </xf>
    <xf numFmtId="169" fontId="8" fillId="0" borderId="2" xfId="0" applyNumberFormat="1" applyFont="1" applyBorder="1" applyAlignment="1">
      <alignment/>
    </xf>
    <xf numFmtId="169" fontId="5" fillId="0" borderId="11" xfId="0" applyNumberFormat="1" applyFont="1" applyBorder="1" applyAlignment="1">
      <alignment/>
    </xf>
    <xf numFmtId="169" fontId="5" fillId="0" borderId="0" xfId="0" applyNumberFormat="1" applyFont="1" applyAlignment="1">
      <alignment/>
    </xf>
    <xf numFmtId="169" fontId="8" fillId="0" borderId="0" xfId="0" applyNumberFormat="1" applyFont="1" applyAlignment="1">
      <alignment/>
    </xf>
    <xf numFmtId="40" fontId="6" fillId="0" borderId="12" xfId="0" applyNumberFormat="1" applyFont="1" applyBorder="1" applyAlignment="1">
      <alignment/>
    </xf>
    <xf numFmtId="40" fontId="6" fillId="0" borderId="9" xfId="0" applyNumberFormat="1" applyFont="1" applyBorder="1" applyAlignment="1">
      <alignment/>
    </xf>
    <xf numFmtId="40" fontId="7" fillId="0" borderId="13" xfId="0" applyNumberFormat="1" applyFont="1" applyBorder="1" applyAlignment="1">
      <alignment horizontal="center"/>
    </xf>
    <xf numFmtId="40" fontId="6" fillId="2" borderId="9" xfId="0" applyNumberFormat="1" applyFont="1" applyFill="1" applyBorder="1" applyAlignment="1">
      <alignment/>
    </xf>
    <xf numFmtId="40" fontId="7" fillId="0" borderId="6" xfId="0" applyNumberFormat="1" applyFont="1" applyBorder="1" applyAlignment="1">
      <alignment/>
    </xf>
    <xf numFmtId="40" fontId="7" fillId="0" borderId="10" xfId="0" applyNumberFormat="1" applyFont="1" applyBorder="1" applyAlignment="1">
      <alignment/>
    </xf>
    <xf numFmtId="40" fontId="5" fillId="0" borderId="9" xfId="0" applyNumberFormat="1" applyFont="1" applyBorder="1" applyAlignment="1">
      <alignment/>
    </xf>
    <xf numFmtId="40" fontId="8" fillId="0" borderId="0" xfId="0" applyNumberFormat="1" applyFont="1" applyBorder="1" applyAlignment="1">
      <alignment/>
    </xf>
    <xf numFmtId="40" fontId="8" fillId="0" borderId="2" xfId="0" applyNumberFormat="1" applyFont="1" applyBorder="1" applyAlignment="1">
      <alignment/>
    </xf>
    <xf numFmtId="40" fontId="5" fillId="0" borderId="11" xfId="0" applyNumberFormat="1" applyFont="1" applyBorder="1" applyAlignment="1">
      <alignment/>
    </xf>
    <xf numFmtId="40" fontId="7" fillId="0" borderId="0" xfId="0" applyNumberFormat="1" applyFont="1" applyBorder="1" applyAlignment="1">
      <alignment/>
    </xf>
    <xf numFmtId="40" fontId="7" fillId="0" borderId="0" xfId="0" applyNumberFormat="1" applyFont="1" applyBorder="1" applyAlignment="1">
      <alignment horizontal="right"/>
    </xf>
    <xf numFmtId="40" fontId="7" fillId="0" borderId="5" xfId="0" applyNumberFormat="1" applyFont="1" applyBorder="1" applyAlignment="1">
      <alignment/>
    </xf>
    <xf numFmtId="40" fontId="6" fillId="0" borderId="0" xfId="0" applyNumberFormat="1" applyFont="1" applyBorder="1" applyAlignment="1">
      <alignment horizontal="right"/>
    </xf>
    <xf numFmtId="40" fontId="6" fillId="0" borderId="0" xfId="0" applyNumberFormat="1" applyFont="1" applyAlignment="1">
      <alignment horizontal="right"/>
    </xf>
    <xf numFmtId="169" fontId="5" fillId="0" borderId="0" xfId="0" applyNumberFormat="1" applyFont="1" applyAlignment="1">
      <alignment horizontal="right" wrapText="1"/>
    </xf>
    <xf numFmtId="9" fontId="5" fillId="0" borderId="0" xfId="21" applyFont="1" applyAlignment="1">
      <alignment horizontal="left"/>
    </xf>
    <xf numFmtId="9" fontId="5" fillId="0" borderId="0" xfId="21" applyFont="1" applyBorder="1" applyAlignment="1">
      <alignment horizontal="left"/>
    </xf>
    <xf numFmtId="9" fontId="8" fillId="0" borderId="0" xfId="21" applyFont="1" applyFill="1" applyBorder="1" applyAlignment="1">
      <alignment horizontal="center" wrapText="1"/>
    </xf>
    <xf numFmtId="9" fontId="5" fillId="0" borderId="0" xfId="21" applyFont="1" applyBorder="1" applyAlignment="1">
      <alignment horizontal="right" wrapText="1"/>
    </xf>
    <xf numFmtId="9" fontId="5" fillId="0" borderId="0" xfId="21" applyFont="1" applyAlignment="1">
      <alignment horizontal="centerContinuous" wrapText="1"/>
    </xf>
    <xf numFmtId="9" fontId="5" fillId="0" borderId="0" xfId="21" applyFont="1" applyAlignment="1">
      <alignment horizontal="right"/>
    </xf>
    <xf numFmtId="9" fontId="5" fillId="0" borderId="0" xfId="21" applyFont="1" applyAlignment="1">
      <alignment/>
    </xf>
    <xf numFmtId="169" fontId="5" fillId="0" borderId="0" xfId="0" applyNumberFormat="1" applyFont="1" applyBorder="1" applyAlignment="1">
      <alignment horizontal="right" wrapText="1"/>
    </xf>
    <xf numFmtId="169" fontId="5" fillId="0" borderId="0" xfId="0" applyNumberFormat="1" applyFont="1" applyBorder="1" applyAlignment="1">
      <alignment horizontal="center" wrapText="1"/>
    </xf>
    <xf numFmtId="169" fontId="5" fillId="0" borderId="5" xfId="0" applyNumberFormat="1" applyFont="1" applyBorder="1" applyAlignment="1">
      <alignment horizontal="right" wrapText="1"/>
    </xf>
    <xf numFmtId="169" fontId="42" fillId="0" borderId="0" xfId="0" applyNumberFormat="1" applyFont="1" applyAlignment="1">
      <alignment horizontal="right" wrapText="1"/>
    </xf>
    <xf numFmtId="169" fontId="42" fillId="0" borderId="5" xfId="0" applyNumberFormat="1" applyFont="1" applyBorder="1" applyAlignment="1">
      <alignment horizontal="right" wrapText="1"/>
    </xf>
    <xf numFmtId="169" fontId="8" fillId="0" borderId="0" xfId="0" applyNumberFormat="1" applyFont="1" applyAlignment="1">
      <alignment horizontal="right" wrapText="1"/>
    </xf>
    <xf numFmtId="169" fontId="5" fillId="0" borderId="4" xfId="0" applyNumberFormat="1" applyFont="1" applyBorder="1" applyAlignment="1">
      <alignment horizontal="right" wrapText="1"/>
    </xf>
    <xf numFmtId="9" fontId="5" fillId="0" borderId="0" xfId="21" applyFont="1" applyAlignment="1">
      <alignment horizontal="right" wrapText="1"/>
    </xf>
    <xf numFmtId="9" fontId="8" fillId="0" borderId="0" xfId="21" applyFont="1" applyAlignment="1">
      <alignment horizontal="center"/>
    </xf>
    <xf numFmtId="9" fontId="5" fillId="0" borderId="0" xfId="21" applyFont="1" applyBorder="1" applyAlignment="1">
      <alignment/>
    </xf>
    <xf numFmtId="9" fontId="8" fillId="0" borderId="0" xfId="21" applyFont="1" applyBorder="1" applyAlignment="1">
      <alignment/>
    </xf>
    <xf numFmtId="43" fontId="27" fillId="0" borderId="0" xfId="15" applyFont="1" applyAlignment="1">
      <alignment/>
    </xf>
    <xf numFmtId="43" fontId="44" fillId="0" borderId="0" xfId="15" applyFont="1" applyBorder="1" applyAlignment="1">
      <alignment/>
    </xf>
    <xf numFmtId="43" fontId="29" fillId="0" borderId="0" xfId="15" applyFont="1" applyBorder="1" applyAlignment="1">
      <alignment/>
    </xf>
    <xf numFmtId="43" fontId="45" fillId="0" borderId="0" xfId="15" applyFont="1" applyAlignment="1">
      <alignment/>
    </xf>
    <xf numFmtId="43" fontId="28" fillId="0" borderId="0" xfId="15" applyFont="1" applyAlignment="1">
      <alignment/>
    </xf>
    <xf numFmtId="43" fontId="42" fillId="0" borderId="0" xfId="15" applyFont="1" applyAlignment="1">
      <alignment/>
    </xf>
    <xf numFmtId="39" fontId="42" fillId="0" borderId="0" xfId="0" applyNumberFormat="1" applyFont="1" applyAlignment="1">
      <alignment/>
    </xf>
    <xf numFmtId="43" fontId="6" fillId="0" borderId="0" xfId="15" applyFont="1" applyBorder="1" applyAlignment="1">
      <alignment/>
    </xf>
    <xf numFmtId="0" fontId="6" fillId="0" borderId="7" xfId="0" applyFont="1" applyBorder="1" applyAlignment="1">
      <alignment/>
    </xf>
    <xf numFmtId="0" fontId="6" fillId="0" borderId="2" xfId="0" applyFont="1" applyBorder="1" applyAlignment="1">
      <alignment/>
    </xf>
    <xf numFmtId="43" fontId="24" fillId="0" borderId="0" xfId="15" applyFont="1" applyAlignment="1">
      <alignment/>
    </xf>
    <xf numFmtId="169" fontId="24" fillId="2" borderId="0" xfId="0" applyNumberFormat="1" applyFont="1" applyFill="1" applyBorder="1" applyAlignment="1">
      <alignment/>
    </xf>
    <xf numFmtId="169" fontId="24" fillId="0" borderId="9" xfId="0" applyNumberFormat="1" applyFont="1" applyBorder="1" applyAlignment="1">
      <alignment/>
    </xf>
    <xf numFmtId="39" fontId="24" fillId="0" borderId="0" xfId="0" applyNumberFormat="1" applyFont="1" applyAlignment="1">
      <alignment/>
    </xf>
    <xf numFmtId="41" fontId="42" fillId="0" borderId="1" xfId="0" applyNumberFormat="1" applyFont="1" applyBorder="1" applyAlignment="1">
      <alignment/>
    </xf>
    <xf numFmtId="37" fontId="31" fillId="0" borderId="0" xfId="0" applyNumberFormat="1" applyFont="1" applyBorder="1" applyAlignment="1">
      <alignment/>
    </xf>
    <xf numFmtId="164" fontId="31" fillId="0" borderId="0" xfId="15" applyNumberFormat="1" applyFont="1" applyBorder="1" applyAlignment="1">
      <alignment/>
    </xf>
    <xf numFmtId="0" fontId="37" fillId="0" borderId="0" xfId="0" applyFont="1" applyFill="1" applyBorder="1" applyAlignment="1">
      <alignment/>
    </xf>
    <xf numFmtId="38" fontId="46" fillId="0" borderId="0" xfId="0" applyNumberFormat="1" applyFont="1" applyFill="1" applyBorder="1" applyAlignment="1">
      <alignment horizontal="centerContinuous"/>
    </xf>
    <xf numFmtId="0" fontId="46" fillId="0" borderId="0" xfId="0" applyFont="1" applyFill="1" applyBorder="1" applyAlignment="1">
      <alignment/>
    </xf>
    <xf numFmtId="44" fontId="7" fillId="0" borderId="0" xfId="17" applyFont="1" applyAlignment="1">
      <alignment horizontal="centerContinuous"/>
    </xf>
    <xf numFmtId="44" fontId="6" fillId="0" borderId="0" xfId="17" applyFont="1" applyAlignment="1">
      <alignment horizontal="centerContinuous"/>
    </xf>
    <xf numFmtId="1" fontId="8" fillId="0" borderId="2" xfId="0" applyNumberFormat="1" applyFont="1" applyBorder="1" applyAlignment="1" quotePrefix="1">
      <alignment horizontal="center"/>
    </xf>
    <xf numFmtId="10" fontId="10" fillId="0" borderId="0" xfId="0" applyNumberFormat="1" applyFont="1" applyAlignment="1">
      <alignment horizontal="right"/>
    </xf>
    <xf numFmtId="40" fontId="10" fillId="0" borderId="0" xfId="0" applyNumberFormat="1" applyFont="1" applyAlignment="1">
      <alignment/>
    </xf>
    <xf numFmtId="0" fontId="8" fillId="0" borderId="2" xfId="0" applyFont="1" applyBorder="1" applyAlignment="1">
      <alignment horizontal="centerContinuous"/>
    </xf>
    <xf numFmtId="43" fontId="14" fillId="0" borderId="0" xfId="0" applyNumberFormat="1" applyFont="1" applyBorder="1" applyAlignment="1">
      <alignment horizontal="right"/>
    </xf>
    <xf numFmtId="165" fontId="10" fillId="0" borderId="0" xfId="0" applyNumberFormat="1" applyFont="1" applyBorder="1" applyAlignment="1">
      <alignment horizontal="right"/>
    </xf>
    <xf numFmtId="0" fontId="31" fillId="0" borderId="0" xfId="0" applyFont="1" applyBorder="1" applyAlignment="1" quotePrefix="1">
      <alignment/>
    </xf>
    <xf numFmtId="39" fontId="31" fillId="0" borderId="0" xfId="0" applyNumberFormat="1" applyFont="1" applyAlignment="1">
      <alignment horizontal="right"/>
    </xf>
    <xf numFmtId="39" fontId="14" fillId="0" borderId="0" xfId="0" applyNumberFormat="1" applyFont="1" applyBorder="1" applyAlignment="1">
      <alignment/>
    </xf>
    <xf numFmtId="37" fontId="26" fillId="0" borderId="0" xfId="0" applyNumberFormat="1" applyFont="1" applyAlignment="1">
      <alignment horizontal="right"/>
    </xf>
    <xf numFmtId="164" fontId="5" fillId="0" borderId="0" xfId="0" applyNumberFormat="1" applyFont="1" applyFill="1" applyBorder="1" applyAlignment="1">
      <alignment/>
    </xf>
    <xf numFmtId="164" fontId="14" fillId="0" borderId="0" xfId="15" applyNumberFormat="1" applyFont="1" applyAlignment="1">
      <alignment/>
    </xf>
    <xf numFmtId="0" fontId="48" fillId="0" borderId="0" xfId="0" applyFont="1" applyAlignment="1">
      <alignment/>
    </xf>
    <xf numFmtId="0" fontId="48" fillId="0" borderId="0" xfId="0" applyFont="1" applyBorder="1" applyAlignment="1">
      <alignment/>
    </xf>
    <xf numFmtId="0" fontId="46" fillId="0" borderId="0" xfId="0" applyFont="1" applyBorder="1" applyAlignment="1">
      <alignment horizontal="centerContinuous"/>
    </xf>
    <xf numFmtId="164" fontId="48" fillId="0" borderId="0" xfId="15" applyNumberFormat="1" applyFont="1" applyBorder="1" applyAlignment="1">
      <alignment/>
    </xf>
    <xf numFmtId="0" fontId="49" fillId="4" borderId="0" xfId="0" applyFont="1" applyFill="1" applyBorder="1" applyAlignment="1" applyProtection="1">
      <alignment horizontal="centerContinuous"/>
      <protection locked="0"/>
    </xf>
    <xf numFmtId="0" fontId="50" fillId="0" borderId="0" xfId="0" applyFont="1" applyBorder="1" applyAlignment="1">
      <alignment/>
    </xf>
    <xf numFmtId="0" fontId="47" fillId="0" borderId="0" xfId="0" applyFont="1" applyBorder="1" applyAlignment="1">
      <alignment/>
    </xf>
    <xf numFmtId="1" fontId="25" fillId="0" borderId="0" xfId="0" applyNumberFormat="1" applyFont="1" applyBorder="1" applyAlignment="1">
      <alignment horizontal="left"/>
    </xf>
    <xf numFmtId="43" fontId="5" fillId="0" borderId="0" xfId="15" applyFont="1" applyBorder="1" applyAlignment="1">
      <alignment/>
    </xf>
    <xf numFmtId="43" fontId="8" fillId="0" borderId="0" xfId="15" applyFont="1" applyBorder="1" applyAlignment="1">
      <alignment/>
    </xf>
    <xf numFmtId="43" fontId="8" fillId="2" borderId="0" xfId="15" applyFont="1" applyFill="1" applyBorder="1" applyAlignment="1">
      <alignment/>
    </xf>
    <xf numFmtId="43" fontId="8" fillId="0" borderId="2" xfId="15" applyFont="1" applyBorder="1" applyAlignment="1">
      <alignment/>
    </xf>
    <xf numFmtId="166" fontId="8" fillId="0" borderId="0" xfId="0" applyNumberFormat="1" applyFont="1" applyBorder="1" applyAlignment="1">
      <alignment/>
    </xf>
    <xf numFmtId="44" fontId="51" fillId="0" borderId="6" xfId="17" applyFont="1" applyBorder="1" applyAlignment="1">
      <alignment/>
    </xf>
    <xf numFmtId="169" fontId="27" fillId="0" borderId="0" xfId="0" applyNumberFormat="1" applyFont="1" applyBorder="1" applyAlignment="1">
      <alignment horizontal="right" wrapText="1"/>
    </xf>
    <xf numFmtId="169" fontId="27" fillId="0" borderId="0" xfId="0" applyNumberFormat="1" applyFont="1" applyBorder="1" applyAlignment="1">
      <alignment horizontal="center" wrapText="1"/>
    </xf>
    <xf numFmtId="169" fontId="27" fillId="0" borderId="5" xfId="0" applyNumberFormat="1" applyFont="1" applyBorder="1" applyAlignment="1">
      <alignment horizontal="right"/>
    </xf>
    <xf numFmtId="169" fontId="27" fillId="0" borderId="0" xfId="0" applyNumberFormat="1" applyFont="1" applyAlignment="1">
      <alignment horizontal="right"/>
    </xf>
    <xf numFmtId="169" fontId="22" fillId="0" borderId="0" xfId="0" applyNumberFormat="1" applyFont="1" applyFill="1" applyBorder="1" applyAlignment="1">
      <alignment horizontal="right"/>
    </xf>
    <xf numFmtId="169" fontId="22" fillId="0" borderId="5" xfId="0" applyNumberFormat="1" applyFont="1" applyFill="1" applyBorder="1" applyAlignment="1">
      <alignment horizontal="right"/>
    </xf>
    <xf numFmtId="169" fontId="22" fillId="0" borderId="0" xfId="0" applyNumberFormat="1" applyFont="1" applyAlignment="1">
      <alignment horizontal="right" wrapText="1"/>
    </xf>
    <xf numFmtId="169" fontId="21" fillId="0" borderId="0" xfId="0" applyNumberFormat="1" applyFont="1" applyAlignment="1">
      <alignment horizontal="right" wrapText="1"/>
    </xf>
    <xf numFmtId="169" fontId="42" fillId="0" borderId="9" xfId="0" applyNumberFormat="1" applyFont="1" applyBorder="1" applyAlignment="1">
      <alignment/>
    </xf>
    <xf numFmtId="43" fontId="8" fillId="0" borderId="6" xfId="15" applyFont="1" applyBorder="1" applyAlignment="1">
      <alignment/>
    </xf>
    <xf numFmtId="43" fontId="8" fillId="0" borderId="0" xfId="15" applyFont="1" applyAlignment="1">
      <alignment/>
    </xf>
    <xf numFmtId="40" fontId="22" fillId="0" borderId="0" xfId="0" applyNumberFormat="1" applyFont="1" applyFill="1" applyBorder="1" applyAlignment="1">
      <alignment horizontal="right"/>
    </xf>
    <xf numFmtId="40" fontId="22" fillId="0" borderId="5" xfId="0" applyNumberFormat="1" applyFont="1" applyFill="1" applyBorder="1" applyAlignment="1">
      <alignment horizontal="right"/>
    </xf>
    <xf numFmtId="43" fontId="22" fillId="0" borderId="0" xfId="15" applyFont="1" applyFill="1" applyBorder="1" applyAlignment="1">
      <alignment horizontal="right"/>
    </xf>
    <xf numFmtId="38" fontId="7" fillId="0" borderId="0" xfId="0" applyNumberFormat="1" applyFont="1" applyBorder="1" applyAlignment="1">
      <alignment horizontal="centerContinuous"/>
    </xf>
    <xf numFmtId="14" fontId="6" fillId="0" borderId="0" xfId="0" applyNumberFormat="1" applyFont="1" applyBorder="1" applyAlignment="1">
      <alignment/>
    </xf>
    <xf numFmtId="38" fontId="29" fillId="0" borderId="0" xfId="0" applyNumberFormat="1" applyFont="1" applyBorder="1" applyAlignment="1">
      <alignment/>
    </xf>
    <xf numFmtId="0" fontId="6" fillId="0" borderId="0" xfId="0" applyFont="1" applyBorder="1" applyAlignment="1">
      <alignment horizontal="left"/>
    </xf>
    <xf numFmtId="0" fontId="10" fillId="0" borderId="14" xfId="0" applyFont="1" applyBorder="1" applyAlignment="1">
      <alignment horizontal="left"/>
    </xf>
    <xf numFmtId="0" fontId="10" fillId="0" borderId="15" xfId="0" applyFont="1" applyBorder="1" applyAlignment="1">
      <alignment horizontal="left"/>
    </xf>
    <xf numFmtId="0" fontId="5" fillId="0" borderId="0" xfId="0" applyFont="1" applyBorder="1" applyAlignment="1">
      <alignment horizontal="left"/>
    </xf>
    <xf numFmtId="0" fontId="7" fillId="0" borderId="0" xfId="0" applyFont="1" applyBorder="1" applyAlignment="1">
      <alignment horizontal="center"/>
    </xf>
    <xf numFmtId="43" fontId="51" fillId="0" borderId="0" xfId="15" applyFont="1" applyBorder="1" applyAlignment="1">
      <alignment/>
    </xf>
    <xf numFmtId="41" fontId="8" fillId="0" borderId="16" xfId="0" applyNumberFormat="1" applyFont="1" applyBorder="1" applyAlignment="1">
      <alignment/>
    </xf>
    <xf numFmtId="41" fontId="43" fillId="0" borderId="0" xfId="0" applyNumberFormat="1" applyFont="1" applyBorder="1" applyAlignment="1">
      <alignment/>
    </xf>
    <xf numFmtId="169" fontId="42" fillId="0" borderId="0" xfId="0" applyNumberFormat="1" applyFont="1" applyBorder="1" applyAlignment="1">
      <alignment horizontal="right" wrapText="1"/>
    </xf>
    <xf numFmtId="44" fontId="8" fillId="0" borderId="5" xfId="17" applyFont="1" applyBorder="1" applyAlignment="1">
      <alignment horizontal="right" wrapText="1"/>
    </xf>
    <xf numFmtId="43" fontId="21" fillId="0" borderId="0" xfId="0" applyNumberFormat="1" applyFont="1" applyAlignment="1">
      <alignment horizontal="right" wrapText="1"/>
    </xf>
    <xf numFmtId="41" fontId="42" fillId="0" borderId="0" xfId="0" applyNumberFormat="1" applyFont="1" applyAlignment="1">
      <alignment horizontal="centerContinuous" wrapText="1"/>
    </xf>
    <xf numFmtId="169" fontId="42" fillId="0" borderId="0" xfId="0" applyNumberFormat="1" applyFont="1" applyAlignment="1">
      <alignment horizontal="centerContinuous" wrapText="1"/>
    </xf>
    <xf numFmtId="38" fontId="26" fillId="0" borderId="0" xfId="0" applyNumberFormat="1" applyFont="1" applyAlignment="1">
      <alignment horizontal="right"/>
    </xf>
    <xf numFmtId="0" fontId="31" fillId="4" borderId="0" xfId="0" applyFont="1" applyFill="1" applyBorder="1" applyAlignment="1" applyProtection="1">
      <alignment/>
      <protection locked="0"/>
    </xf>
    <xf numFmtId="38" fontId="31" fillId="0" borderId="0" xfId="0" applyNumberFormat="1" applyFont="1" applyBorder="1" applyAlignment="1">
      <alignment/>
    </xf>
    <xf numFmtId="164" fontId="31" fillId="0" borderId="0" xfId="15" applyNumberFormat="1" applyFont="1" applyBorder="1" applyAlignment="1">
      <alignment horizontal="right"/>
    </xf>
    <xf numFmtId="44" fontId="8" fillId="0" borderId="6" xfId="17" applyFont="1" applyBorder="1" applyAlignment="1">
      <alignment horizontal="right" wrapText="1"/>
    </xf>
    <xf numFmtId="44" fontId="21" fillId="0" borderId="6" xfId="17" applyFont="1" applyFill="1" applyBorder="1" applyAlignment="1">
      <alignment horizontal="right"/>
    </xf>
    <xf numFmtId="164" fontId="46" fillId="0" borderId="0" xfId="15" applyNumberFormat="1" applyFont="1" applyFill="1" applyAlignment="1">
      <alignment horizontal="centerContinuous"/>
    </xf>
    <xf numFmtId="164" fontId="5" fillId="0" borderId="0" xfId="15" applyNumberFormat="1" applyFont="1" applyAlignment="1">
      <alignment horizontal="centerContinuous"/>
    </xf>
    <xf numFmtId="164" fontId="10" fillId="0" borderId="0" xfId="15" applyNumberFormat="1" applyFont="1" applyFill="1" applyAlignment="1">
      <alignment horizontal="centerContinuous"/>
    </xf>
    <xf numFmtId="164" fontId="15" fillId="2" borderId="0" xfId="15" applyNumberFormat="1" applyFont="1" applyFill="1" applyAlignment="1">
      <alignment horizontal="centerContinuous" wrapText="1"/>
    </xf>
    <xf numFmtId="164" fontId="14" fillId="0" borderId="0" xfId="15" applyNumberFormat="1" applyFont="1" applyFill="1" applyAlignment="1">
      <alignment/>
    </xf>
    <xf numFmtId="164" fontId="31" fillId="0" borderId="0" xfId="15" applyNumberFormat="1" applyFont="1" applyFill="1" applyAlignment="1">
      <alignment horizontal="right"/>
    </xf>
    <xf numFmtId="164" fontId="6" fillId="0" borderId="0" xfId="15" applyNumberFormat="1" applyFont="1" applyAlignment="1">
      <alignment horizontal="left" indent="1"/>
    </xf>
    <xf numFmtId="164" fontId="14" fillId="0" borderId="0" xfId="15" applyNumberFormat="1" applyFont="1" applyFill="1" applyAlignment="1">
      <alignment horizontal="left" indent="1"/>
    </xf>
    <xf numFmtId="164" fontId="14" fillId="0" borderId="0" xfId="15" applyNumberFormat="1" applyFont="1" applyAlignment="1">
      <alignment horizontal="left" indent="1"/>
    </xf>
    <xf numFmtId="164" fontId="14" fillId="0" borderId="0" xfId="15" applyNumberFormat="1" applyFont="1" applyFill="1" applyBorder="1" applyAlignment="1">
      <alignment horizontal="left" indent="1"/>
    </xf>
    <xf numFmtId="164" fontId="10" fillId="0" borderId="0" xfId="15" applyNumberFormat="1" applyFont="1" applyBorder="1" applyAlignment="1">
      <alignment horizontal="left" indent="1"/>
    </xf>
    <xf numFmtId="164" fontId="32" fillId="0" borderId="0" xfId="15" applyNumberFormat="1" applyFont="1" applyBorder="1" applyAlignment="1">
      <alignment horizontal="left" indent="1"/>
    </xf>
    <xf numFmtId="164" fontId="14" fillId="0" borderId="0" xfId="15" applyNumberFormat="1" applyFont="1" applyBorder="1" applyAlignment="1">
      <alignment horizontal="left" vertical="center" indent="1"/>
    </xf>
    <xf numFmtId="164" fontId="14" fillId="0" borderId="0" xfId="15" applyNumberFormat="1" applyFont="1" applyBorder="1" applyAlignment="1">
      <alignment horizontal="left" indent="1"/>
    </xf>
    <xf numFmtId="164" fontId="31" fillId="0" borderId="0" xfId="15" applyNumberFormat="1" applyFont="1" applyBorder="1" applyAlignment="1">
      <alignment horizontal="left" indent="1"/>
    </xf>
    <xf numFmtId="164" fontId="15" fillId="2" borderId="0" xfId="15" applyNumberFormat="1" applyFont="1" applyFill="1" applyAlignment="1">
      <alignment horizontal="center" wrapText="1"/>
    </xf>
    <xf numFmtId="164" fontId="15" fillId="5" borderId="0" xfId="15" applyNumberFormat="1" applyFont="1" applyFill="1" applyBorder="1" applyAlignment="1" applyProtection="1">
      <alignment horizontal="center" wrapText="1"/>
      <protection locked="0"/>
    </xf>
    <xf numFmtId="164" fontId="49" fillId="4" borderId="0" xfId="15" applyNumberFormat="1" applyFont="1" applyFill="1" applyBorder="1" applyAlignment="1" applyProtection="1">
      <alignment horizontal="centerContinuous"/>
      <protection locked="0"/>
    </xf>
    <xf numFmtId="164" fontId="50" fillId="0" borderId="0" xfId="15" applyNumberFormat="1" applyFont="1" applyAlignment="1">
      <alignment horizontal="centerContinuous"/>
    </xf>
    <xf numFmtId="164" fontId="4" fillId="0" borderId="0" xfId="15" applyNumberFormat="1" applyFont="1" applyFill="1" applyAlignment="1">
      <alignment horizontal="centerContinuous"/>
    </xf>
    <xf numFmtId="164" fontId="4" fillId="4" borderId="0" xfId="15" applyNumberFormat="1" applyFont="1" applyFill="1" applyBorder="1" applyAlignment="1" applyProtection="1">
      <alignment horizontal="centerContinuous"/>
      <protection locked="0"/>
    </xf>
    <xf numFmtId="164" fontId="13" fillId="4" borderId="0" xfId="15" applyNumberFormat="1" applyFont="1" applyFill="1" applyBorder="1" applyAlignment="1" applyProtection="1">
      <alignment horizontal="centerContinuous"/>
      <protection locked="0"/>
    </xf>
    <xf numFmtId="164" fontId="13" fillId="4" borderId="0" xfId="15" applyNumberFormat="1" applyFont="1" applyFill="1" applyBorder="1" applyAlignment="1" applyProtection="1">
      <alignment horizontal="centerContinuous" wrapText="1"/>
      <protection locked="0"/>
    </xf>
    <xf numFmtId="164" fontId="14" fillId="4" borderId="0" xfId="15" applyNumberFormat="1" applyFont="1" applyFill="1" applyBorder="1" applyAlignment="1" applyProtection="1">
      <alignment/>
      <protection locked="0"/>
    </xf>
    <xf numFmtId="164" fontId="14" fillId="0" borderId="0" xfId="15" applyNumberFormat="1" applyFont="1" applyAlignment="1">
      <alignment horizontal="right"/>
    </xf>
    <xf numFmtId="164" fontId="14" fillId="0" borderId="5" xfId="15" applyNumberFormat="1" applyFont="1" applyBorder="1" applyAlignment="1">
      <alignment horizontal="right"/>
    </xf>
    <xf numFmtId="164" fontId="10" fillId="4" borderId="0" xfId="15" applyNumberFormat="1" applyFont="1" applyFill="1" applyBorder="1" applyAlignment="1" applyProtection="1">
      <alignment horizontal="center"/>
      <protection locked="0"/>
    </xf>
    <xf numFmtId="164" fontId="10" fillId="0" borderId="0" xfId="15" applyNumberFormat="1" applyFont="1" applyBorder="1" applyAlignment="1">
      <alignment horizontal="right"/>
    </xf>
    <xf numFmtId="164" fontId="46" fillId="0" borderId="0" xfId="15" applyNumberFormat="1" applyFont="1" applyBorder="1" applyAlignment="1">
      <alignment horizontal="centerContinuous"/>
    </xf>
    <xf numFmtId="164" fontId="48" fillId="0" borderId="0" xfId="15" applyNumberFormat="1" applyFont="1" applyBorder="1" applyAlignment="1">
      <alignment horizontal="centerContinuous"/>
    </xf>
    <xf numFmtId="164" fontId="14" fillId="0" borderId="0" xfId="15" applyNumberFormat="1" applyFont="1" applyBorder="1" applyAlignment="1">
      <alignment horizontal="centerContinuous"/>
    </xf>
    <xf numFmtId="37" fontId="6" fillId="0" borderId="17" xfId="0" applyNumberFormat="1" applyFont="1" applyBorder="1" applyAlignment="1">
      <alignment/>
    </xf>
    <xf numFmtId="37" fontId="7" fillId="0" borderId="7" xfId="0" applyNumberFormat="1" applyFont="1" applyBorder="1" applyAlignment="1">
      <alignment/>
    </xf>
    <xf numFmtId="43" fontId="14" fillId="0" borderId="0" xfId="0" applyNumberFormat="1" applyFont="1" applyBorder="1" applyAlignment="1">
      <alignment/>
    </xf>
    <xf numFmtId="164" fontId="33" fillId="0" borderId="0" xfId="15" applyNumberFormat="1" applyFont="1" applyBorder="1" applyAlignment="1">
      <alignment horizontal="right"/>
    </xf>
    <xf numFmtId="164" fontId="5" fillId="0" borderId="0" xfId="15" applyNumberFormat="1" applyFont="1" applyBorder="1" applyAlignment="1">
      <alignment/>
    </xf>
    <xf numFmtId="164" fontId="34" fillId="0" borderId="0" xfId="15" applyNumberFormat="1" applyFont="1" applyBorder="1" applyAlignment="1">
      <alignment horizontal="right"/>
    </xf>
    <xf numFmtId="164" fontId="14" fillId="0" borderId="0" xfId="15" applyNumberFormat="1" applyFont="1" applyBorder="1" applyAlignment="1">
      <alignment horizontal="left"/>
    </xf>
    <xf numFmtId="5" fontId="10" fillId="0" borderId="6" xfId="15" applyNumberFormat="1" applyFont="1" applyBorder="1" applyAlignment="1">
      <alignment horizontal="right"/>
    </xf>
    <xf numFmtId="164" fontId="26" fillId="0" borderId="0" xfId="15" applyNumberFormat="1" applyFont="1" applyAlignment="1">
      <alignment/>
    </xf>
    <xf numFmtId="164" fontId="5" fillId="0" borderId="0" xfId="15" applyNumberFormat="1" applyFont="1" applyFill="1" applyBorder="1" applyAlignment="1">
      <alignment/>
    </xf>
    <xf numFmtId="164" fontId="5" fillId="0" borderId="0" xfId="15" applyNumberFormat="1" applyFont="1" applyFill="1" applyBorder="1" applyAlignment="1">
      <alignment horizontal="right"/>
    </xf>
    <xf numFmtId="164" fontId="29" fillId="0" borderId="0" xfId="15" applyNumberFormat="1" applyFont="1" applyBorder="1" applyAlignment="1">
      <alignment/>
    </xf>
    <xf numFmtId="164" fontId="16" fillId="0" borderId="0" xfId="15" applyNumberFormat="1" applyFont="1" applyBorder="1" applyAlignment="1">
      <alignment horizontal="right" vertical="center"/>
    </xf>
    <xf numFmtId="164" fontId="32" fillId="0" borderId="0" xfId="15" applyNumberFormat="1" applyFont="1" applyBorder="1" applyAlignment="1">
      <alignment horizontal="right"/>
    </xf>
    <xf numFmtId="164" fontId="14" fillId="0" borderId="0" xfId="15" applyNumberFormat="1" applyFont="1" applyBorder="1" applyAlignment="1">
      <alignment horizontal="right" vertical="center"/>
    </xf>
    <xf numFmtId="5" fontId="14" fillId="0" borderId="6" xfId="15" applyNumberFormat="1" applyFont="1" applyBorder="1" applyAlignment="1">
      <alignment horizontal="right"/>
    </xf>
    <xf numFmtId="43" fontId="10" fillId="0" borderId="6" xfId="15" applyFont="1" applyBorder="1" applyAlignment="1">
      <alignment horizontal="right"/>
    </xf>
    <xf numFmtId="38" fontId="5" fillId="0" borderId="9" xfId="0" applyNumberFormat="1" applyFont="1" applyBorder="1" applyAlignment="1">
      <alignment/>
    </xf>
    <xf numFmtId="40" fontId="5" fillId="0" borderId="0" xfId="0" applyNumberFormat="1" applyFont="1" applyFill="1" applyBorder="1" applyAlignment="1">
      <alignment/>
    </xf>
    <xf numFmtId="170" fontId="5" fillId="0" borderId="0" xfId="0" applyNumberFormat="1" applyFont="1" applyFill="1" applyBorder="1" applyAlignment="1">
      <alignment/>
    </xf>
    <xf numFmtId="38" fontId="54" fillId="0" borderId="0" xfId="0" applyNumberFormat="1" applyFont="1" applyFill="1" applyBorder="1" applyAlignment="1">
      <alignment/>
    </xf>
    <xf numFmtId="5" fontId="14" fillId="0" borderId="0" xfId="15" applyNumberFormat="1" applyFont="1" applyBorder="1" applyAlignment="1">
      <alignment horizontal="right"/>
    </xf>
    <xf numFmtId="43" fontId="0" fillId="0" borderId="0" xfId="15" applyAlignment="1">
      <alignment/>
    </xf>
    <xf numFmtId="0" fontId="8" fillId="0" borderId="18" xfId="0" applyFont="1" applyBorder="1" applyAlignment="1">
      <alignment horizontal="center"/>
    </xf>
    <xf numFmtId="9" fontId="10" fillId="0" borderId="0" xfId="21" applyFont="1" applyAlignment="1">
      <alignment/>
    </xf>
    <xf numFmtId="10" fontId="10" fillId="0" borderId="0" xfId="21" applyNumberFormat="1" applyFont="1" applyAlignment="1">
      <alignment/>
    </xf>
    <xf numFmtId="164" fontId="0" fillId="0" borderId="0" xfId="15" applyNumberFormat="1" applyAlignment="1">
      <alignment/>
    </xf>
    <xf numFmtId="43" fontId="50" fillId="0" borderId="0" xfId="0" applyNumberFormat="1" applyFont="1" applyBorder="1" applyAlignment="1">
      <alignment/>
    </xf>
    <xf numFmtId="43" fontId="20" fillId="0" borderId="0" xfId="0" applyNumberFormat="1" applyFont="1" applyBorder="1" applyAlignment="1">
      <alignment/>
    </xf>
    <xf numFmtId="40" fontId="7" fillId="0" borderId="19" xfId="0" applyNumberFormat="1" applyFont="1" applyBorder="1" applyAlignment="1">
      <alignment/>
    </xf>
    <xf numFmtId="40" fontId="6" fillId="0" borderId="4" xfId="0" applyNumberFormat="1" applyFont="1" applyBorder="1" applyAlignment="1">
      <alignment/>
    </xf>
    <xf numFmtId="0" fontId="7" fillId="0" borderId="0" xfId="15" applyNumberFormat="1" applyFont="1" applyBorder="1" applyAlignment="1">
      <alignment horizontal="right"/>
    </xf>
    <xf numFmtId="38" fontId="7" fillId="0" borderId="0" xfId="0" applyNumberFormat="1" applyFont="1" applyBorder="1" applyAlignment="1" quotePrefix="1">
      <alignment horizontal="center"/>
    </xf>
    <xf numFmtId="7" fontId="14" fillId="0" borderId="0" xfId="0" applyNumberFormat="1" applyFont="1" applyBorder="1" applyAlignment="1">
      <alignment/>
    </xf>
    <xf numFmtId="164" fontId="4" fillId="0" borderId="0" xfId="15" applyNumberFormat="1" applyFont="1" applyAlignment="1">
      <alignment/>
    </xf>
    <xf numFmtId="7" fontId="14" fillId="0" borderId="0" xfId="0" applyNumberFormat="1" applyFont="1" applyFill="1" applyAlignment="1">
      <alignment/>
    </xf>
    <xf numFmtId="7" fontId="14" fillId="0" borderId="0" xfId="15" applyNumberFormat="1" applyFont="1" applyFill="1" applyAlignment="1">
      <alignment/>
    </xf>
    <xf numFmtId="7" fontId="15" fillId="2" borderId="0" xfId="15" applyNumberFormat="1" applyFont="1" applyFill="1" applyAlignment="1">
      <alignment horizontal="centerContinuous" wrapText="1"/>
    </xf>
    <xf numFmtId="7" fontId="14" fillId="0" borderId="0" xfId="0" applyNumberFormat="1" applyFont="1" applyAlignment="1">
      <alignment/>
    </xf>
    <xf numFmtId="7" fontId="14" fillId="0" borderId="0" xfId="15" applyNumberFormat="1" applyFont="1" applyFill="1" applyAlignment="1">
      <alignment horizontal="right"/>
    </xf>
    <xf numFmtId="7" fontId="10" fillId="0" borderId="0" xfId="15" applyNumberFormat="1" applyFont="1" applyFill="1" applyAlignment="1">
      <alignment horizontal="right"/>
    </xf>
    <xf numFmtId="7" fontId="5" fillId="0" borderId="0" xfId="15" applyNumberFormat="1" applyFont="1" applyAlignment="1">
      <alignment horizontal="right"/>
    </xf>
    <xf numFmtId="7" fontId="7" fillId="0" borderId="0" xfId="0" applyNumberFormat="1" applyFont="1" applyBorder="1" applyAlignment="1">
      <alignment horizontal="centerContinuous"/>
    </xf>
    <xf numFmtId="7" fontId="5" fillId="0" borderId="0" xfId="15" applyNumberFormat="1" applyFont="1" applyBorder="1" applyAlignment="1">
      <alignment horizontal="centerContinuous"/>
    </xf>
    <xf numFmtId="7" fontId="14" fillId="0" borderId="0" xfId="15" applyNumberFormat="1" applyFont="1" applyBorder="1" applyAlignment="1">
      <alignment/>
    </xf>
    <xf numFmtId="43" fontId="4" fillId="0" borderId="0" xfId="0" applyNumberFormat="1" applyFont="1" applyFill="1" applyBorder="1" applyAlignment="1">
      <alignment horizontal="centerContinuous"/>
    </xf>
    <xf numFmtId="43" fontId="21" fillId="2" borderId="0" xfId="15" applyNumberFormat="1" applyFont="1" applyFill="1" applyBorder="1" applyAlignment="1">
      <alignment horizontal="center" wrapText="1"/>
    </xf>
    <xf numFmtId="43" fontId="5" fillId="0" borderId="0" xfId="0" applyNumberFormat="1" applyFont="1" applyFill="1" applyAlignment="1">
      <alignment/>
    </xf>
    <xf numFmtId="40" fontId="4" fillId="0" borderId="0" xfId="0" applyNumberFormat="1" applyFont="1" applyFill="1" applyBorder="1" applyAlignment="1">
      <alignment horizontal="centerContinuous"/>
    </xf>
    <xf numFmtId="40" fontId="20" fillId="0" borderId="0" xfId="15" applyNumberFormat="1" applyFont="1" applyBorder="1" applyAlignment="1">
      <alignment horizontal="centerContinuous"/>
    </xf>
    <xf numFmtId="40" fontId="5" fillId="0" borderId="0" xfId="15" applyNumberFormat="1" applyFont="1" applyBorder="1" applyAlignment="1">
      <alignment horizontal="centerContinuous"/>
    </xf>
    <xf numFmtId="40" fontId="20" fillId="0" borderId="0" xfId="15" applyNumberFormat="1" applyFont="1" applyFill="1" applyBorder="1" applyAlignment="1">
      <alignment horizontal="centerContinuous"/>
    </xf>
    <xf numFmtId="40" fontId="5" fillId="0" borderId="0" xfId="0" applyNumberFormat="1" applyFont="1" applyBorder="1" applyAlignment="1">
      <alignment horizontal="centerContinuous"/>
    </xf>
    <xf numFmtId="40" fontId="7" fillId="0" borderId="0" xfId="15" applyNumberFormat="1" applyFont="1" applyFill="1" applyBorder="1" applyAlignment="1">
      <alignment horizontal="centerContinuous"/>
    </xf>
    <xf numFmtId="40" fontId="5" fillId="0" borderId="0" xfId="15" applyNumberFormat="1" applyFont="1" applyFill="1" applyBorder="1" applyAlignment="1">
      <alignment horizontal="centerContinuous"/>
    </xf>
    <xf numFmtId="40" fontId="8" fillId="0" borderId="0" xfId="0" applyNumberFormat="1" applyFont="1" applyFill="1" applyBorder="1" applyAlignment="1">
      <alignment horizontal="left" wrapText="1"/>
    </xf>
    <xf numFmtId="40" fontId="21" fillId="2" borderId="0" xfId="15" applyNumberFormat="1" applyFont="1" applyFill="1" applyBorder="1" applyAlignment="1">
      <alignment horizontal="center" wrapText="1"/>
    </xf>
    <xf numFmtId="40" fontId="9" fillId="0" borderId="0" xfId="0" applyNumberFormat="1" applyFont="1" applyFill="1" applyBorder="1" applyAlignment="1">
      <alignment horizontal="left" wrapText="1"/>
    </xf>
    <xf numFmtId="40" fontId="22" fillId="3" borderId="0" xfId="15" applyNumberFormat="1" applyFont="1" applyFill="1" applyBorder="1" applyAlignment="1">
      <alignment vertical="center" wrapText="1"/>
    </xf>
    <xf numFmtId="40" fontId="22" fillId="3" borderId="0" xfId="15" applyNumberFormat="1" applyFont="1" applyFill="1" applyBorder="1" applyAlignment="1">
      <alignment wrapText="1"/>
    </xf>
    <xf numFmtId="40" fontId="5" fillId="0" borderId="0" xfId="0" applyNumberFormat="1" applyFont="1" applyFill="1" applyBorder="1" applyAlignment="1">
      <alignment/>
    </xf>
    <xf numFmtId="40" fontId="5" fillId="0" borderId="0" xfId="15" applyNumberFormat="1" applyFont="1" applyFill="1" applyBorder="1" applyAlignment="1">
      <alignment horizontal="right"/>
    </xf>
    <xf numFmtId="40" fontId="5" fillId="0" borderId="0" xfId="0" applyNumberFormat="1" applyFont="1" applyFill="1" applyBorder="1" applyAlignment="1">
      <alignment horizontal="left"/>
    </xf>
    <xf numFmtId="40" fontId="8" fillId="0" borderId="0" xfId="0" applyNumberFormat="1" applyFont="1" applyFill="1" applyBorder="1" applyAlignment="1">
      <alignment/>
    </xf>
    <xf numFmtId="40" fontId="8" fillId="0" borderId="0" xfId="0" applyNumberFormat="1" applyFont="1" applyFill="1" applyAlignment="1">
      <alignment/>
    </xf>
    <xf numFmtId="40" fontId="5" fillId="0" borderId="0" xfId="0" applyNumberFormat="1" applyFont="1" applyFill="1" applyAlignment="1">
      <alignment/>
    </xf>
    <xf numFmtId="40" fontId="9" fillId="0" borderId="0" xfId="0" applyNumberFormat="1" applyFont="1" applyFill="1" applyBorder="1" applyAlignment="1">
      <alignment/>
    </xf>
    <xf numFmtId="40" fontId="5" fillId="0" borderId="0" xfId="0" applyNumberFormat="1" applyFont="1" applyFill="1" applyBorder="1" applyAlignment="1">
      <alignment horizontal="left" wrapText="1"/>
    </xf>
    <xf numFmtId="40" fontId="5" fillId="0" borderId="0" xfId="15" applyNumberFormat="1" applyFont="1" applyFill="1" applyBorder="1" applyAlignment="1">
      <alignment/>
    </xf>
    <xf numFmtId="43" fontId="4" fillId="0" borderId="20" xfId="0" applyNumberFormat="1" applyFont="1" applyBorder="1" applyAlignment="1">
      <alignment horizontal="centerContinuous"/>
    </xf>
    <xf numFmtId="43" fontId="14" fillId="0" borderId="20" xfId="0" applyNumberFormat="1" applyFont="1" applyBorder="1" applyAlignment="1" quotePrefix="1">
      <alignment wrapText="1"/>
    </xf>
    <xf numFmtId="43" fontId="14" fillId="0" borderId="20" xfId="0" applyNumberFormat="1" applyFont="1" applyBorder="1" applyAlignment="1">
      <alignment horizontal="center" wrapText="1"/>
    </xf>
    <xf numFmtId="43" fontId="14" fillId="0" borderId="21" xfId="0" applyNumberFormat="1" applyFont="1" applyBorder="1" applyAlignment="1">
      <alignment horizontal="center" wrapText="1"/>
    </xf>
    <xf numFmtId="43" fontId="10" fillId="0" borderId="20" xfId="0" applyNumberFormat="1" applyFont="1" applyBorder="1" applyAlignment="1">
      <alignment horizontal="center" wrapText="1"/>
    </xf>
    <xf numFmtId="43" fontId="14" fillId="0" borderId="20" xfId="0" applyNumberFormat="1" applyFont="1" applyBorder="1" applyAlignment="1">
      <alignment horizontal="left" wrapText="1"/>
    </xf>
    <xf numFmtId="43" fontId="10" fillId="0" borderId="20" xfId="0" applyNumberFormat="1" applyFont="1" applyBorder="1" applyAlignment="1">
      <alignment horizontal="left" wrapText="1"/>
    </xf>
    <xf numFmtId="43" fontId="10" fillId="0" borderId="22" xfId="0" applyNumberFormat="1" applyFont="1" applyBorder="1" applyAlignment="1">
      <alignment horizontal="left" wrapText="1"/>
    </xf>
    <xf numFmtId="43" fontId="31" fillId="0" borderId="0" xfId="0" applyNumberFormat="1" applyFont="1" applyBorder="1" applyAlignment="1">
      <alignment horizontal="left" wrapText="1"/>
    </xf>
    <xf numFmtId="7" fontId="14" fillId="0" borderId="0" xfId="15" applyNumberFormat="1" applyFont="1" applyBorder="1" applyAlignment="1">
      <alignment horizontal="centerContinuous"/>
    </xf>
    <xf numFmtId="7" fontId="14" fillId="0" borderId="20" xfId="0" applyNumberFormat="1" applyFont="1" applyBorder="1" applyAlignment="1" quotePrefix="1">
      <alignment wrapText="1"/>
    </xf>
    <xf numFmtId="7" fontId="14" fillId="0" borderId="20" xfId="0" applyNumberFormat="1" applyFont="1" applyBorder="1" applyAlignment="1">
      <alignment horizontal="center" wrapText="1"/>
    </xf>
    <xf numFmtId="7" fontId="14" fillId="0" borderId="23" xfId="0" applyNumberFormat="1" applyFont="1" applyBorder="1" applyAlignment="1">
      <alignment horizontal="center" wrapText="1"/>
    </xf>
    <xf numFmtId="7" fontId="10" fillId="0" borderId="24" xfId="0" applyNumberFormat="1" applyFont="1" applyBorder="1" applyAlignment="1">
      <alignment horizontal="center" wrapText="1"/>
    </xf>
    <xf numFmtId="7" fontId="14" fillId="0" borderId="24" xfId="0" applyNumberFormat="1" applyFont="1" applyBorder="1" applyAlignment="1">
      <alignment horizontal="left" wrapText="1"/>
    </xf>
    <xf numFmtId="7" fontId="10" fillId="0" borderId="24" xfId="0" applyNumberFormat="1" applyFont="1" applyBorder="1" applyAlignment="1">
      <alignment horizontal="left" wrapText="1"/>
    </xf>
    <xf numFmtId="7" fontId="10" fillId="0" borderId="25" xfId="0" applyNumberFormat="1" applyFont="1" applyBorder="1" applyAlignment="1">
      <alignment horizontal="left" wrapText="1"/>
    </xf>
    <xf numFmtId="7" fontId="46" fillId="0" borderId="0" xfId="0" applyNumberFormat="1" applyFont="1" applyFill="1" applyAlignment="1">
      <alignment horizontal="centerContinuous"/>
    </xf>
    <xf numFmtId="7" fontId="46" fillId="0" borderId="0" xfId="15" applyNumberFormat="1" applyFont="1" applyFill="1" applyAlignment="1">
      <alignment horizontal="centerContinuous"/>
    </xf>
    <xf numFmtId="7" fontId="48" fillId="0" borderId="0" xfId="15" applyNumberFormat="1" applyFont="1" applyAlignment="1">
      <alignment horizontal="centerContinuous"/>
    </xf>
    <xf numFmtId="7" fontId="4" fillId="0" borderId="0" xfId="0" applyNumberFormat="1" applyFont="1" applyFill="1" applyAlignment="1">
      <alignment horizontal="centerContinuous"/>
    </xf>
    <xf numFmtId="7" fontId="5" fillId="0" borderId="0" xfId="15" applyNumberFormat="1" applyFont="1" applyAlignment="1">
      <alignment horizontal="centerContinuous"/>
    </xf>
    <xf numFmtId="7" fontId="14" fillId="0" borderId="0" xfId="15" applyNumberFormat="1" applyFont="1" applyAlignment="1">
      <alignment horizontal="centerContinuous"/>
    </xf>
    <xf numFmtId="7" fontId="10" fillId="0" borderId="0" xfId="15" applyNumberFormat="1" applyFont="1" applyFill="1" applyAlignment="1">
      <alignment horizontal="centerContinuous"/>
    </xf>
    <xf numFmtId="7" fontId="6" fillId="0" borderId="0" xfId="0" applyNumberFormat="1" applyFont="1" applyFill="1" applyAlignment="1">
      <alignment horizontal="centerContinuous"/>
    </xf>
    <xf numFmtId="7" fontId="6" fillId="0" borderId="0" xfId="15" applyNumberFormat="1" applyFont="1" applyFill="1" applyAlignment="1">
      <alignment horizontal="centerContinuous"/>
    </xf>
    <xf numFmtId="7" fontId="10" fillId="0" borderId="0" xfId="0" applyNumberFormat="1" applyFont="1" applyFill="1" applyAlignment="1">
      <alignment horizontal="left" wrapText="1"/>
    </xf>
    <xf numFmtId="7" fontId="10" fillId="0" borderId="0" xfId="0" applyNumberFormat="1" applyFont="1" applyFill="1" applyAlignment="1">
      <alignment horizontal="center" wrapText="1"/>
    </xf>
    <xf numFmtId="7" fontId="10" fillId="0" borderId="0" xfId="0" applyNumberFormat="1" applyFont="1" applyFill="1" applyAlignment="1">
      <alignment horizontal="center"/>
    </xf>
    <xf numFmtId="7" fontId="31" fillId="0" borderId="0" xfId="0" applyNumberFormat="1" applyFont="1" applyFill="1" applyAlignment="1">
      <alignment/>
    </xf>
    <xf numFmtId="7" fontId="14" fillId="0" borderId="0" xfId="0" applyNumberFormat="1" applyFont="1" applyFill="1" applyBorder="1" applyAlignment="1">
      <alignment horizontal="left"/>
    </xf>
    <xf numFmtId="171" fontId="46" fillId="0" borderId="0" xfId="0" applyNumberFormat="1" applyFont="1" applyFill="1" applyAlignment="1">
      <alignment horizontal="centerContinuous"/>
    </xf>
    <xf numFmtId="171" fontId="48" fillId="0" borderId="0" xfId="0" applyNumberFormat="1" applyFont="1" applyAlignment="1">
      <alignment horizontal="centerContinuous"/>
    </xf>
    <xf numFmtId="171" fontId="4" fillId="0" borderId="0" xfId="0" applyNumberFormat="1" applyFont="1" applyFill="1" applyAlignment="1">
      <alignment horizontal="centerContinuous"/>
    </xf>
    <xf numFmtId="171" fontId="5" fillId="0" borderId="0" xfId="0" applyNumberFormat="1" applyFont="1" applyAlignment="1">
      <alignment horizontal="centerContinuous"/>
    </xf>
    <xf numFmtId="171" fontId="14" fillId="0" borderId="0" xfId="0" applyNumberFormat="1" applyFont="1" applyAlignment="1">
      <alignment horizontal="centerContinuous"/>
    </xf>
    <xf numFmtId="171" fontId="10" fillId="0" borderId="0" xfId="0" applyNumberFormat="1" applyFont="1" applyFill="1" applyAlignment="1">
      <alignment horizontal="centerContinuous"/>
    </xf>
    <xf numFmtId="171" fontId="6" fillId="0" borderId="0" xfId="0" applyNumberFormat="1" applyFont="1" applyFill="1" applyAlignment="1">
      <alignment horizontal="centerContinuous"/>
    </xf>
    <xf numFmtId="171" fontId="10" fillId="0" borderId="0" xfId="0" applyNumberFormat="1" applyFont="1" applyFill="1" applyAlignment="1">
      <alignment horizontal="left" wrapText="1"/>
    </xf>
    <xf numFmtId="171" fontId="15" fillId="2" borderId="0" xfId="0" applyNumberFormat="1" applyFont="1" applyFill="1" applyAlignment="1">
      <alignment horizontal="centerContinuous" wrapText="1"/>
    </xf>
    <xf numFmtId="171" fontId="15" fillId="2" borderId="0" xfId="0" applyNumberFormat="1" applyFont="1" applyFill="1" applyAlignment="1">
      <alignment horizontal="center" wrapText="1"/>
    </xf>
    <xf numFmtId="171" fontId="10" fillId="0" borderId="0" xfId="0" applyNumberFormat="1" applyFont="1" applyFill="1" applyAlignment="1">
      <alignment horizontal="center" wrapText="1"/>
    </xf>
    <xf numFmtId="171" fontId="14" fillId="0" borderId="0" xfId="0" applyNumberFormat="1" applyFont="1" applyFill="1" applyAlignment="1">
      <alignment/>
    </xf>
    <xf numFmtId="171" fontId="10" fillId="0" borderId="0" xfId="0" applyNumberFormat="1" applyFont="1" applyFill="1" applyAlignment="1">
      <alignment horizontal="center"/>
    </xf>
    <xf numFmtId="171" fontId="14" fillId="0" borderId="0" xfId="0" applyNumberFormat="1" applyFont="1" applyFill="1" applyBorder="1" applyAlignment="1">
      <alignment horizontal="left"/>
    </xf>
    <xf numFmtId="7" fontId="4" fillId="0" borderId="0" xfId="15" applyNumberFormat="1" applyFont="1" applyFill="1" applyAlignment="1">
      <alignment horizontal="centerContinuous"/>
    </xf>
    <xf numFmtId="7" fontId="6" fillId="0" borderId="0" xfId="15" applyNumberFormat="1" applyFont="1" applyAlignment="1">
      <alignment/>
    </xf>
    <xf numFmtId="7" fontId="10" fillId="4" borderId="0" xfId="0" applyNumberFormat="1" applyFont="1" applyFill="1" applyBorder="1" applyAlignment="1" applyProtection="1">
      <alignment horizontal="center"/>
      <protection locked="0"/>
    </xf>
    <xf numFmtId="7" fontId="5" fillId="0" borderId="0" xfId="0" applyNumberFormat="1" applyFont="1" applyAlignment="1">
      <alignment horizontal="right"/>
    </xf>
    <xf numFmtId="7" fontId="13" fillId="4" borderId="0" xfId="15" applyNumberFormat="1" applyFont="1" applyFill="1" applyBorder="1" applyAlignment="1" applyProtection="1">
      <alignment horizontal="right"/>
      <protection locked="0"/>
    </xf>
    <xf numFmtId="7" fontId="10" fillId="4" borderId="0" xfId="0" applyNumberFormat="1" applyFont="1" applyFill="1" applyBorder="1" applyAlignment="1" applyProtection="1">
      <alignment horizontal="right"/>
      <protection locked="0"/>
    </xf>
    <xf numFmtId="7" fontId="6" fillId="0" borderId="0" xfId="15" applyNumberFormat="1" applyFont="1" applyAlignment="1">
      <alignment horizontal="right"/>
    </xf>
    <xf numFmtId="7" fontId="14" fillId="4" borderId="0" xfId="15" applyNumberFormat="1" applyFont="1" applyFill="1" applyBorder="1" applyAlignment="1" applyProtection="1">
      <alignment horizontal="right"/>
      <protection locked="0"/>
    </xf>
    <xf numFmtId="7" fontId="14" fillId="4" borderId="0" xfId="0" applyNumberFormat="1" applyFont="1" applyFill="1" applyBorder="1" applyAlignment="1" applyProtection="1">
      <alignment horizontal="right"/>
      <protection locked="0"/>
    </xf>
    <xf numFmtId="7" fontId="46" fillId="0" borderId="0" xfId="0" applyNumberFormat="1" applyFont="1" applyBorder="1" applyAlignment="1">
      <alignment horizontal="centerContinuous"/>
    </xf>
    <xf numFmtId="7" fontId="46" fillId="0" borderId="0" xfId="15" applyNumberFormat="1" applyFont="1" applyBorder="1" applyAlignment="1">
      <alignment horizontal="centerContinuous"/>
    </xf>
    <xf numFmtId="7" fontId="48" fillId="0" borderId="0" xfId="15" applyNumberFormat="1" applyFont="1" applyBorder="1" applyAlignment="1">
      <alignment horizontal="centerContinuous"/>
    </xf>
    <xf numFmtId="7" fontId="10" fillId="0" borderId="0" xfId="0" applyNumberFormat="1" applyFont="1" applyBorder="1" applyAlignment="1">
      <alignment horizontal="centerContinuous"/>
    </xf>
    <xf numFmtId="7" fontId="10" fillId="0" borderId="0" xfId="15" applyNumberFormat="1" applyFont="1" applyBorder="1" applyAlignment="1">
      <alignment horizontal="centerContinuous"/>
    </xf>
    <xf numFmtId="7" fontId="14" fillId="0" borderId="0" xfId="0" applyNumberFormat="1" applyFont="1" applyBorder="1" applyAlignment="1">
      <alignment horizontal="centerContinuous"/>
    </xf>
    <xf numFmtId="7" fontId="14" fillId="0" borderId="0" xfId="0" applyNumberFormat="1" applyFont="1" applyBorder="1" applyAlignment="1">
      <alignment horizontal="left" wrapText="1"/>
    </xf>
    <xf numFmtId="7" fontId="15" fillId="2" borderId="0" xfId="15" applyNumberFormat="1" applyFont="1" applyFill="1" applyBorder="1" applyAlignment="1">
      <alignment horizontal="centerContinuous" wrapText="1"/>
    </xf>
    <xf numFmtId="7" fontId="15" fillId="2" borderId="0" xfId="15" applyNumberFormat="1" applyFont="1" applyFill="1" applyBorder="1" applyAlignment="1">
      <alignment horizontal="left" wrapText="1"/>
    </xf>
    <xf numFmtId="7" fontId="10" fillId="0" borderId="0" xfId="0" applyNumberFormat="1" applyFont="1" applyBorder="1" applyAlignment="1">
      <alignment horizontal="center" wrapText="1"/>
    </xf>
    <xf numFmtId="7" fontId="14" fillId="0" borderId="0" xfId="15" applyNumberFormat="1" applyFont="1" applyBorder="1" applyAlignment="1">
      <alignment horizontal="left" wrapText="1"/>
    </xf>
    <xf numFmtId="7" fontId="10" fillId="0" borderId="0" xfId="0" applyNumberFormat="1" applyFont="1" applyAlignment="1">
      <alignment/>
    </xf>
    <xf numFmtId="7" fontId="16" fillId="0" borderId="0" xfId="0" applyNumberFormat="1" applyFont="1" applyBorder="1" applyAlignment="1">
      <alignment horizontal="center" wrapText="1"/>
    </xf>
    <xf numFmtId="5" fontId="14" fillId="0" borderId="0" xfId="15" applyNumberFormat="1" applyFont="1" applyFill="1" applyAlignment="1">
      <alignment horizontal="right"/>
    </xf>
    <xf numFmtId="5" fontId="14" fillId="0" borderId="23" xfId="15" applyNumberFormat="1" applyFont="1" applyFill="1" applyBorder="1" applyAlignment="1">
      <alignment horizontal="right"/>
    </xf>
    <xf numFmtId="5" fontId="14" fillId="0" borderId="24" xfId="15" applyNumberFormat="1" applyFont="1" applyFill="1" applyBorder="1" applyAlignment="1">
      <alignment horizontal="right"/>
    </xf>
    <xf numFmtId="5" fontId="10" fillId="0" borderId="26" xfId="15" applyNumberFormat="1" applyFont="1" applyFill="1" applyBorder="1" applyAlignment="1">
      <alignment horizontal="right"/>
    </xf>
    <xf numFmtId="5" fontId="14" fillId="0" borderId="0" xfId="15" applyNumberFormat="1" applyFont="1" applyFill="1" applyBorder="1" applyAlignment="1">
      <alignment horizontal="right"/>
    </xf>
    <xf numFmtId="5" fontId="10" fillId="0" borderId="0" xfId="15" applyNumberFormat="1" applyFont="1" applyFill="1" applyBorder="1" applyAlignment="1">
      <alignment horizontal="right"/>
    </xf>
    <xf numFmtId="5" fontId="14" fillId="0" borderId="0" xfId="15" applyNumberFormat="1" applyFont="1" applyAlignment="1">
      <alignment horizontal="right"/>
    </xf>
    <xf numFmtId="5" fontId="10" fillId="0" borderId="4" xfId="15" applyNumberFormat="1" applyFont="1" applyFill="1" applyBorder="1" applyAlignment="1">
      <alignment horizontal="right"/>
    </xf>
    <xf numFmtId="5" fontId="10" fillId="0" borderId="6" xfId="17" applyNumberFormat="1" applyFont="1" applyFill="1" applyBorder="1" applyAlignment="1">
      <alignment horizontal="right"/>
    </xf>
    <xf numFmtId="43" fontId="14" fillId="0" borderId="24" xfId="15" applyFont="1" applyFill="1" applyBorder="1" applyAlignment="1">
      <alignment horizontal="right"/>
    </xf>
    <xf numFmtId="164" fontId="14" fillId="0" borderId="24" xfId="15" applyNumberFormat="1" applyFont="1" applyFill="1" applyBorder="1" applyAlignment="1">
      <alignment horizontal="right"/>
    </xf>
    <xf numFmtId="164" fontId="35" fillId="0" borderId="24" xfId="15" applyNumberFormat="1" applyFont="1" applyFill="1" applyBorder="1" applyAlignment="1">
      <alignment horizontal="right"/>
    </xf>
    <xf numFmtId="164" fontId="14" fillId="0" borderId="4" xfId="15" applyNumberFormat="1" applyFont="1" applyFill="1" applyBorder="1" applyAlignment="1">
      <alignment horizontal="right"/>
    </xf>
    <xf numFmtId="164" fontId="14" fillId="0" borderId="0" xfId="15" applyNumberFormat="1" applyFont="1" applyFill="1" applyBorder="1" applyAlignment="1">
      <alignment horizontal="right"/>
    </xf>
    <xf numFmtId="164" fontId="10" fillId="0" borderId="0" xfId="15" applyNumberFormat="1" applyFont="1" applyFill="1" applyBorder="1" applyAlignment="1">
      <alignment horizontal="right"/>
    </xf>
    <xf numFmtId="164" fontId="10" fillId="0" borderId="5" xfId="15" applyNumberFormat="1" applyFont="1" applyFill="1" applyBorder="1" applyAlignment="1">
      <alignment horizontal="right"/>
    </xf>
    <xf numFmtId="164" fontId="14" fillId="0" borderId="15" xfId="15" applyNumberFormat="1" applyFont="1" applyBorder="1" applyAlignment="1">
      <alignment/>
    </xf>
    <xf numFmtId="164" fontId="14" fillId="0" borderId="27" xfId="15" applyNumberFormat="1" applyFont="1" applyBorder="1" applyAlignment="1">
      <alignment/>
    </xf>
    <xf numFmtId="164" fontId="14" fillId="0" borderId="28" xfId="15" applyNumberFormat="1" applyFont="1" applyBorder="1" applyAlignment="1">
      <alignment/>
    </xf>
    <xf numFmtId="164" fontId="14" fillId="0" borderId="22" xfId="15" applyNumberFormat="1" applyFont="1" applyBorder="1" applyAlignment="1">
      <alignment/>
    </xf>
    <xf numFmtId="164" fontId="14" fillId="0" borderId="20" xfId="15" applyNumberFormat="1" applyFont="1" applyBorder="1" applyAlignment="1">
      <alignment/>
    </xf>
    <xf numFmtId="5" fontId="14" fillId="0" borderId="0" xfId="15" applyNumberFormat="1" applyFont="1" applyBorder="1" applyAlignment="1">
      <alignment/>
    </xf>
    <xf numFmtId="164" fontId="5" fillId="0" borderId="0" xfId="15" applyNumberFormat="1" applyFont="1" applyFill="1" applyBorder="1" applyAlignment="1">
      <alignment/>
    </xf>
    <xf numFmtId="164" fontId="5" fillId="0" borderId="22" xfId="15" applyNumberFormat="1" applyFont="1" applyFill="1" applyBorder="1" applyAlignment="1">
      <alignment/>
    </xf>
    <xf numFmtId="164" fontId="5" fillId="0" borderId="5" xfId="15" applyNumberFormat="1" applyFont="1" applyFill="1" applyBorder="1" applyAlignment="1">
      <alignment/>
    </xf>
    <xf numFmtId="164" fontId="8" fillId="0" borderId="29" xfId="15" applyNumberFormat="1" applyFont="1" applyFill="1" applyBorder="1" applyAlignment="1">
      <alignment/>
    </xf>
    <xf numFmtId="164" fontId="5" fillId="0" borderId="20" xfId="15" applyNumberFormat="1" applyFont="1" applyFill="1" applyBorder="1" applyAlignment="1">
      <alignment/>
    </xf>
    <xf numFmtId="164" fontId="27" fillId="0" borderId="0" xfId="15" applyNumberFormat="1" applyFont="1" applyFill="1" applyBorder="1" applyAlignment="1">
      <alignment/>
    </xf>
    <xf numFmtId="164" fontId="8" fillId="0" borderId="5" xfId="15" applyNumberFormat="1" applyFont="1" applyFill="1" applyBorder="1" applyAlignment="1">
      <alignment/>
    </xf>
    <xf numFmtId="164" fontId="9" fillId="0" borderId="0" xfId="15" applyNumberFormat="1" applyFont="1" applyFill="1" applyBorder="1" applyAlignment="1">
      <alignment wrapText="1"/>
    </xf>
    <xf numFmtId="164" fontId="5" fillId="0" borderId="0" xfId="15" applyNumberFormat="1" applyFont="1" applyFill="1" applyAlignment="1">
      <alignment/>
    </xf>
    <xf numFmtId="164" fontId="8" fillId="0" borderId="0" xfId="15" applyNumberFormat="1" applyFont="1" applyFill="1" applyBorder="1" applyAlignment="1">
      <alignment/>
    </xf>
    <xf numFmtId="5" fontId="8" fillId="0" borderId="6" xfId="15" applyNumberFormat="1" applyFont="1" applyFill="1" applyBorder="1" applyAlignment="1">
      <alignment/>
    </xf>
    <xf numFmtId="5" fontId="5" fillId="0" borderId="0" xfId="15" applyNumberFormat="1" applyFont="1" applyFill="1" applyBorder="1" applyAlignment="1">
      <alignment/>
    </xf>
    <xf numFmtId="5" fontId="5" fillId="0" borderId="20" xfId="15" applyNumberFormat="1" applyFont="1" applyFill="1" applyBorder="1" applyAlignment="1">
      <alignment/>
    </xf>
    <xf numFmtId="164" fontId="42" fillId="0" borderId="0" xfId="15" applyNumberFormat="1" applyFont="1" applyFill="1" applyBorder="1" applyAlignment="1">
      <alignment/>
    </xf>
    <xf numFmtId="164" fontId="14" fillId="0" borderId="27" xfId="15" applyNumberFormat="1" applyFont="1" applyBorder="1" applyAlignment="1">
      <alignment horizontal="centerContinuous"/>
    </xf>
    <xf numFmtId="164" fontId="10" fillId="2" borderId="21" xfId="15" applyNumberFormat="1" applyFont="1" applyFill="1" applyBorder="1" applyAlignment="1" quotePrefix="1">
      <alignment horizontal="centerContinuous"/>
    </xf>
    <xf numFmtId="164" fontId="10" fillId="2" borderId="30" xfId="15" applyNumberFormat="1" applyFont="1" applyFill="1" applyBorder="1" applyAlignment="1" quotePrefix="1">
      <alignment horizontal="centerContinuous" wrapText="1"/>
    </xf>
    <xf numFmtId="164" fontId="14" fillId="2" borderId="14" xfId="15" applyNumberFormat="1" applyFont="1" applyFill="1" applyBorder="1" applyAlignment="1">
      <alignment horizontal="centerContinuous"/>
    </xf>
    <xf numFmtId="164" fontId="10" fillId="2" borderId="22" xfId="15" applyNumberFormat="1" applyFont="1" applyFill="1" applyBorder="1" applyAlignment="1">
      <alignment horizontal="centerContinuous"/>
    </xf>
    <xf numFmtId="164" fontId="10" fillId="2" borderId="4" xfId="15" applyNumberFormat="1" applyFont="1" applyFill="1" applyBorder="1" applyAlignment="1">
      <alignment horizontal="centerContinuous"/>
    </xf>
    <xf numFmtId="164" fontId="10" fillId="2" borderId="15" xfId="15" applyNumberFormat="1" applyFont="1" applyFill="1" applyBorder="1" applyAlignment="1">
      <alignment horizontal="centerContinuous"/>
    </xf>
    <xf numFmtId="164" fontId="10" fillId="0" borderId="21" xfId="15" applyNumberFormat="1" applyFont="1" applyBorder="1" applyAlignment="1">
      <alignment horizontal="centerContinuous"/>
    </xf>
    <xf numFmtId="164" fontId="10" fillId="0" borderId="30" xfId="15" applyNumberFormat="1" applyFont="1" applyBorder="1" applyAlignment="1">
      <alignment horizontal="centerContinuous"/>
    </xf>
    <xf numFmtId="164" fontId="14" fillId="0" borderId="20" xfId="15" applyNumberFormat="1" applyFont="1" applyBorder="1" applyAlignment="1">
      <alignment horizontal="right"/>
    </xf>
    <xf numFmtId="164" fontId="14" fillId="6" borderId="27" xfId="15" applyNumberFormat="1" applyFont="1" applyBorder="1" applyAlignment="1">
      <alignment horizontal="right"/>
    </xf>
    <xf numFmtId="164" fontId="14" fillId="0" borderId="22" xfId="15" applyNumberFormat="1" applyFont="1" applyBorder="1" applyAlignment="1">
      <alignment horizontal="right"/>
    </xf>
    <xf numFmtId="164" fontId="14" fillId="0" borderId="4" xfId="15" applyNumberFormat="1" applyFont="1" applyBorder="1" applyAlignment="1">
      <alignment horizontal="right"/>
    </xf>
    <xf numFmtId="164" fontId="14" fillId="6" borderId="15" xfId="15" applyNumberFormat="1" applyFont="1" applyBorder="1" applyAlignment="1">
      <alignment horizontal="right"/>
    </xf>
    <xf numFmtId="164" fontId="23" fillId="0" borderId="20" xfId="15" applyNumberFormat="1" applyFont="1" applyBorder="1" applyAlignment="1">
      <alignment horizontal="right"/>
    </xf>
    <xf numFmtId="164" fontId="10" fillId="6" borderId="27" xfId="15" applyNumberFormat="1" applyFont="1" applyBorder="1" applyAlignment="1">
      <alignment horizontal="right"/>
    </xf>
    <xf numFmtId="164" fontId="14" fillId="0" borderId="27" xfId="15" applyNumberFormat="1" applyFont="1" applyBorder="1" applyAlignment="1">
      <alignment horizontal="right"/>
    </xf>
    <xf numFmtId="164" fontId="10" fillId="6" borderId="31" xfId="15" applyNumberFormat="1" applyFont="1" applyBorder="1" applyAlignment="1">
      <alignment horizontal="right"/>
    </xf>
    <xf numFmtId="164" fontId="14" fillId="0" borderId="15" xfId="15" applyNumberFormat="1" applyFont="1" applyBorder="1" applyAlignment="1">
      <alignment horizontal="right"/>
    </xf>
    <xf numFmtId="5" fontId="14" fillId="0" borderId="0" xfId="15" applyNumberFormat="1" applyFont="1" applyBorder="1" applyAlignment="1">
      <alignment horizontal="centerContinuous"/>
    </xf>
    <xf numFmtId="5" fontId="14" fillId="0" borderId="27" xfId="15" applyNumberFormat="1" applyFont="1" applyBorder="1" applyAlignment="1">
      <alignment horizontal="centerContinuous"/>
    </xf>
    <xf numFmtId="5" fontId="10" fillId="2" borderId="21" xfId="15" applyNumberFormat="1" applyFont="1" applyFill="1" applyBorder="1" applyAlignment="1" quotePrefix="1">
      <alignment horizontal="centerContinuous"/>
    </xf>
    <xf numFmtId="5" fontId="10" fillId="2" borderId="30" xfId="15" applyNumberFormat="1" applyFont="1" applyFill="1" applyBorder="1" applyAlignment="1" quotePrefix="1">
      <alignment horizontal="centerContinuous" wrapText="1"/>
    </xf>
    <xf numFmtId="5" fontId="14" fillId="2" borderId="14" xfId="15" applyNumberFormat="1" applyFont="1" applyFill="1" applyBorder="1" applyAlignment="1">
      <alignment horizontal="centerContinuous"/>
    </xf>
    <xf numFmtId="5" fontId="10" fillId="2" borderId="22" xfId="15" applyNumberFormat="1" applyFont="1" applyFill="1" applyBorder="1" applyAlignment="1">
      <alignment horizontal="centerContinuous"/>
    </xf>
    <xf numFmtId="5" fontId="10" fillId="2" borderId="4" xfId="15" applyNumberFormat="1" applyFont="1" applyFill="1" applyBorder="1" applyAlignment="1">
      <alignment horizontal="centerContinuous"/>
    </xf>
    <xf numFmtId="5" fontId="10" fillId="2" borderId="15" xfId="15" applyNumberFormat="1" applyFont="1" applyFill="1" applyBorder="1" applyAlignment="1">
      <alignment horizontal="centerContinuous"/>
    </xf>
    <xf numFmtId="5" fontId="10" fillId="0" borderId="21" xfId="15" applyNumberFormat="1" applyFont="1" applyBorder="1" applyAlignment="1">
      <alignment horizontal="centerContinuous"/>
    </xf>
    <xf numFmtId="5" fontId="10" fillId="0" borderId="30" xfId="15" applyNumberFormat="1" applyFont="1" applyBorder="1" applyAlignment="1">
      <alignment horizontal="centerContinuous"/>
    </xf>
    <xf numFmtId="5" fontId="10" fillId="0" borderId="14" xfId="15" applyNumberFormat="1" applyFont="1" applyBorder="1" applyAlignment="1">
      <alignment horizontal="centerContinuous"/>
    </xf>
    <xf numFmtId="5" fontId="14" fillId="0" borderId="20" xfId="15" applyNumberFormat="1" applyFont="1" applyBorder="1" applyAlignment="1">
      <alignment horizontal="right"/>
    </xf>
    <xf numFmtId="5" fontId="14" fillId="6" borderId="27" xfId="15" applyNumberFormat="1" applyFont="1" applyBorder="1" applyAlignment="1">
      <alignment horizontal="right"/>
    </xf>
    <xf numFmtId="5" fontId="14" fillId="0" borderId="22" xfId="15" applyNumberFormat="1" applyFont="1" applyBorder="1" applyAlignment="1">
      <alignment horizontal="right"/>
    </xf>
    <xf numFmtId="5" fontId="14" fillId="0" borderId="4" xfId="15" applyNumberFormat="1" applyFont="1" applyBorder="1" applyAlignment="1">
      <alignment horizontal="right"/>
    </xf>
    <xf numFmtId="5" fontId="10" fillId="6" borderId="27" xfId="15" applyNumberFormat="1" applyFont="1" applyBorder="1" applyAlignment="1">
      <alignment horizontal="right"/>
    </xf>
    <xf numFmtId="5" fontId="10" fillId="6" borderId="15" xfId="15" applyNumberFormat="1" applyFont="1" applyBorder="1" applyAlignment="1">
      <alignment horizontal="right" wrapText="1"/>
    </xf>
    <xf numFmtId="5" fontId="31" fillId="0" borderId="0" xfId="15" applyNumberFormat="1" applyFont="1" applyBorder="1" applyAlignment="1">
      <alignment/>
    </xf>
    <xf numFmtId="5" fontId="30" fillId="0" borderId="0" xfId="15" applyNumberFormat="1" applyFont="1" applyBorder="1" applyAlignment="1">
      <alignment horizontal="right"/>
    </xf>
    <xf numFmtId="5" fontId="10" fillId="0" borderId="0" xfId="15" applyNumberFormat="1" applyFont="1" applyBorder="1" applyAlignment="1">
      <alignment horizontal="right"/>
    </xf>
    <xf numFmtId="5" fontId="33" fillId="0" borderId="0" xfId="15" applyNumberFormat="1" applyFont="1" applyBorder="1" applyAlignment="1">
      <alignment horizontal="right"/>
    </xf>
    <xf numFmtId="5" fontId="34" fillId="0" borderId="0" xfId="15" applyNumberFormat="1" applyFont="1" applyBorder="1" applyAlignment="1">
      <alignment horizontal="right"/>
    </xf>
    <xf numFmtId="5" fontId="34" fillId="0" borderId="0" xfId="15" applyNumberFormat="1" applyFont="1" applyBorder="1" applyAlignment="1">
      <alignment horizontal="right"/>
    </xf>
    <xf numFmtId="5" fontId="5" fillId="0" borderId="0" xfId="15" applyNumberFormat="1" applyFont="1" applyBorder="1" applyAlignment="1">
      <alignment/>
    </xf>
    <xf numFmtId="5" fontId="14" fillId="0" borderId="20" xfId="15" applyNumberFormat="1" applyFont="1" applyFill="1" applyBorder="1" applyAlignment="1">
      <alignment horizontal="right"/>
    </xf>
    <xf numFmtId="5" fontId="10" fillId="0" borderId="6" xfId="15" applyNumberFormat="1" applyFont="1" applyFill="1" applyBorder="1" applyAlignment="1">
      <alignment horizontal="right"/>
    </xf>
    <xf numFmtId="5" fontId="10" fillId="0" borderId="32" xfId="15" applyNumberFormat="1" applyFont="1" applyFill="1" applyBorder="1" applyAlignment="1">
      <alignment horizontal="right"/>
    </xf>
    <xf numFmtId="164" fontId="14" fillId="0" borderId="20" xfId="15" applyNumberFormat="1" applyFont="1" applyFill="1" applyBorder="1" applyAlignment="1">
      <alignment horizontal="right"/>
    </xf>
    <xf numFmtId="164" fontId="10" fillId="0" borderId="32" xfId="15" applyNumberFormat="1" applyFont="1" applyBorder="1" applyAlignment="1">
      <alignment horizontal="right"/>
    </xf>
    <xf numFmtId="167" fontId="14" fillId="0" borderId="0" xfId="15" applyNumberFormat="1" applyFont="1" applyFill="1" applyAlignment="1">
      <alignment horizontal="right"/>
    </xf>
    <xf numFmtId="164" fontId="14" fillId="0" borderId="22" xfId="15" applyNumberFormat="1" applyFont="1" applyFill="1" applyBorder="1" applyAlignment="1">
      <alignment horizontal="right"/>
    </xf>
    <xf numFmtId="164" fontId="31" fillId="3" borderId="0" xfId="15" applyNumberFormat="1" applyFont="1" applyFill="1" applyAlignment="1">
      <alignment horizontal="left"/>
    </xf>
    <xf numFmtId="43" fontId="10" fillId="0" borderId="6" xfId="15" applyFont="1" applyFill="1" applyBorder="1" applyAlignment="1">
      <alignment horizontal="right"/>
    </xf>
    <xf numFmtId="5" fontId="6" fillId="0" borderId="0" xfId="15" applyNumberFormat="1" applyFont="1" applyAlignment="1">
      <alignment horizontal="right"/>
    </xf>
    <xf numFmtId="5" fontId="16" fillId="0" borderId="0" xfId="15" applyNumberFormat="1" applyFont="1" applyBorder="1" applyAlignment="1">
      <alignment horizontal="right" vertical="center"/>
    </xf>
    <xf numFmtId="5" fontId="31" fillId="0" borderId="0" xfId="0" applyNumberFormat="1" applyFont="1" applyBorder="1" applyAlignment="1" quotePrefix="1">
      <alignment horizontal="right"/>
    </xf>
    <xf numFmtId="164" fontId="10" fillId="0" borderId="0" xfId="15" applyNumberFormat="1" applyFont="1" applyAlignment="1">
      <alignment horizontal="right"/>
    </xf>
    <xf numFmtId="164" fontId="23" fillId="0" borderId="0" xfId="15" applyNumberFormat="1" applyFont="1" applyBorder="1" applyAlignment="1">
      <alignment horizontal="right"/>
    </xf>
    <xf numFmtId="5" fontId="10" fillId="0" borderId="33" xfId="15" applyNumberFormat="1" applyFont="1" applyBorder="1" applyAlignment="1">
      <alignment/>
    </xf>
    <xf numFmtId="164" fontId="10" fillId="6" borderId="15" xfId="15" applyNumberFormat="1" applyFont="1" applyBorder="1" applyAlignment="1">
      <alignment horizontal="right"/>
    </xf>
    <xf numFmtId="164" fontId="14" fillId="6" borderId="4" xfId="15" applyNumberFormat="1" applyFont="1" applyBorder="1" applyAlignment="1">
      <alignment horizontal="right"/>
    </xf>
    <xf numFmtId="164" fontId="14" fillId="6" borderId="0" xfId="15" applyNumberFormat="1" applyFont="1" applyBorder="1" applyAlignment="1">
      <alignment horizontal="right"/>
    </xf>
    <xf numFmtId="5" fontId="10" fillId="0" borderId="27" xfId="15" applyNumberFormat="1" applyFont="1" applyBorder="1" applyAlignment="1">
      <alignment/>
    </xf>
    <xf numFmtId="43" fontId="5" fillId="0" borderId="0" xfId="15" applyFont="1" applyFill="1" applyBorder="1" applyAlignment="1">
      <alignment/>
    </xf>
    <xf numFmtId="5" fontId="10" fillId="6" borderId="15" xfId="15" applyNumberFormat="1" applyFont="1" applyBorder="1" applyAlignment="1">
      <alignment horizontal="right"/>
    </xf>
    <xf numFmtId="172" fontId="10" fillId="0" borderId="0" xfId="15" applyNumberFormat="1" applyFont="1" applyFill="1" applyAlignment="1">
      <alignment horizontal="centerContinuous"/>
    </xf>
    <xf numFmtId="172" fontId="6" fillId="0" borderId="0" xfId="15" applyNumberFormat="1" applyFont="1" applyAlignment="1">
      <alignment/>
    </xf>
    <xf numFmtId="172" fontId="14" fillId="0" borderId="0" xfId="15" applyNumberFormat="1" applyFont="1" applyBorder="1" applyAlignment="1">
      <alignment/>
    </xf>
    <xf numFmtId="7" fontId="10" fillId="4" borderId="0" xfId="15" applyNumberFormat="1" applyFont="1" applyFill="1" applyBorder="1" applyAlignment="1" applyProtection="1">
      <alignment horizontal="center"/>
      <protection locked="0"/>
    </xf>
    <xf numFmtId="7" fontId="14" fillId="4" borderId="0" xfId="0" applyNumberFormat="1" applyFont="1" applyFill="1" applyBorder="1" applyAlignment="1" applyProtection="1">
      <alignment horizontal="left"/>
      <protection locked="0"/>
    </xf>
    <xf numFmtId="7" fontId="10" fillId="4" borderId="0" xfId="0" applyNumberFormat="1" applyFont="1" applyFill="1" applyBorder="1" applyAlignment="1" applyProtection="1">
      <alignment horizontal="center" wrapText="1"/>
      <protection locked="0"/>
    </xf>
    <xf numFmtId="7" fontId="15" fillId="2" borderId="0" xfId="15" applyNumberFormat="1" applyFont="1" applyFill="1" applyAlignment="1">
      <alignment horizontal="center" wrapText="1"/>
    </xf>
    <xf numFmtId="7" fontId="15" fillId="5" borderId="0" xfId="15" applyNumberFormat="1" applyFont="1" applyFill="1" applyBorder="1" applyAlignment="1" applyProtection="1">
      <alignment horizontal="center" wrapText="1"/>
      <protection locked="0"/>
    </xf>
    <xf numFmtId="5" fontId="15" fillId="2" borderId="0" xfId="15" applyNumberFormat="1" applyFont="1" applyFill="1" applyAlignment="1">
      <alignment horizontal="center" wrapText="1"/>
    </xf>
    <xf numFmtId="5" fontId="15" fillId="2" borderId="0" xfId="0" applyNumberFormat="1" applyFont="1" applyFill="1" applyAlignment="1">
      <alignment horizontal="center" wrapText="1"/>
    </xf>
    <xf numFmtId="41" fontId="42" fillId="0" borderId="0" xfId="0" applyNumberFormat="1" applyFont="1" applyAlignment="1">
      <alignment/>
    </xf>
    <xf numFmtId="169" fontId="42" fillId="0" borderId="0" xfId="0" applyNumberFormat="1" applyFont="1" applyAlignment="1">
      <alignment/>
    </xf>
    <xf numFmtId="9" fontId="42" fillId="0" borderId="0" xfId="21" applyFont="1" applyAlignment="1">
      <alignment horizontal="right" wrapText="1"/>
    </xf>
    <xf numFmtId="169" fontId="42" fillId="0" borderId="0" xfId="0" applyNumberFormat="1" applyFont="1" applyAlignment="1">
      <alignment horizontal="right" wrapText="1"/>
    </xf>
    <xf numFmtId="39" fontId="42" fillId="0" borderId="0" xfId="0" applyNumberFormat="1" applyFont="1" applyAlignment="1">
      <alignment/>
    </xf>
    <xf numFmtId="38" fontId="42" fillId="0" borderId="0" xfId="0" applyNumberFormat="1" applyFont="1" applyAlignment="1">
      <alignment/>
    </xf>
    <xf numFmtId="43" fontId="42" fillId="0" borderId="0" xfId="15" applyFont="1" applyAlignment="1">
      <alignment/>
    </xf>
    <xf numFmtId="9" fontId="42" fillId="0" borderId="0" xfId="21" applyFont="1" applyAlignment="1">
      <alignment horizontal="centerContinuous" wrapText="1"/>
    </xf>
    <xf numFmtId="0" fontId="56" fillId="0" borderId="0" xfId="0" applyFont="1" applyAlignment="1">
      <alignment/>
    </xf>
    <xf numFmtId="0" fontId="57" fillId="0" borderId="0" xfId="0" applyFont="1" applyAlignment="1">
      <alignment/>
    </xf>
    <xf numFmtId="0" fontId="31" fillId="0" borderId="0" xfId="0" applyFont="1" applyAlignment="1">
      <alignment/>
    </xf>
    <xf numFmtId="0" fontId="26" fillId="0" borderId="0" xfId="0" applyFont="1" applyAlignment="1">
      <alignment/>
    </xf>
    <xf numFmtId="0" fontId="30" fillId="0" borderId="0" xfId="0" applyNumberFormat="1" applyFont="1" applyAlignment="1">
      <alignment horizontal="right" wrapText="1"/>
    </xf>
    <xf numFmtId="38" fontId="26" fillId="0" borderId="0" xfId="0" applyNumberFormat="1" applyFont="1" applyAlignment="1">
      <alignment horizontal="left"/>
    </xf>
    <xf numFmtId="5" fontId="26" fillId="0" borderId="0" xfId="0" applyNumberFormat="1" applyFont="1" applyAlignment="1">
      <alignment/>
    </xf>
    <xf numFmtId="164" fontId="5" fillId="0" borderId="0" xfId="15" applyNumberFormat="1" applyFont="1" applyFill="1" applyBorder="1" applyAlignment="1">
      <alignment/>
    </xf>
    <xf numFmtId="164" fontId="5" fillId="0" borderId="0" xfId="0" applyNumberFormat="1" applyFont="1" applyFill="1" applyBorder="1" applyAlignment="1">
      <alignment/>
    </xf>
    <xf numFmtId="38" fontId="8" fillId="0" borderId="6" xfId="0" applyNumberFormat="1" applyFont="1" applyFill="1" applyBorder="1" applyAlignment="1">
      <alignment/>
    </xf>
    <xf numFmtId="164" fontId="8" fillId="0" borderId="0" xfId="15" applyNumberFormat="1" applyFont="1" applyFill="1" applyBorder="1" applyAlignment="1">
      <alignment horizontal="right"/>
    </xf>
    <xf numFmtId="38" fontId="5" fillId="0" borderId="0" xfId="15" applyNumberFormat="1" applyFont="1" applyFill="1" applyBorder="1" applyAlignment="1">
      <alignment horizontal="right"/>
    </xf>
    <xf numFmtId="5" fontId="10" fillId="6" borderId="27" xfId="15" applyNumberFormat="1" applyFont="1" applyBorder="1" applyAlignment="1">
      <alignment horizontal="right" wrapText="1"/>
    </xf>
    <xf numFmtId="0" fontId="14" fillId="0" borderId="23" xfId="0" applyFont="1" applyBorder="1" applyAlignment="1">
      <alignment horizontal="left"/>
    </xf>
    <xf numFmtId="0" fontId="14" fillId="0" borderId="24" xfId="0" applyFont="1" applyBorder="1" applyAlignment="1">
      <alignment horizontal="left"/>
    </xf>
    <xf numFmtId="164" fontId="14" fillId="0" borderId="24" xfId="15" applyNumberFormat="1" applyFont="1" applyBorder="1" applyAlignment="1">
      <alignment/>
    </xf>
    <xf numFmtId="164" fontId="14" fillId="0" borderId="24" xfId="15" applyNumberFormat="1" applyFont="1" applyBorder="1" applyAlignment="1">
      <alignment horizontal="left"/>
    </xf>
    <xf numFmtId="164" fontId="14" fillId="0" borderId="24" xfId="0" applyNumberFormat="1" applyFont="1" applyBorder="1" applyAlignment="1">
      <alignment horizontal="left"/>
    </xf>
    <xf numFmtId="164" fontId="14" fillId="0" borderId="4" xfId="15" applyNumberFormat="1" applyFont="1" applyBorder="1" applyAlignment="1">
      <alignment horizontal="left"/>
    </xf>
    <xf numFmtId="43" fontId="14" fillId="0" borderId="24" xfId="15" applyFont="1" applyBorder="1" applyAlignment="1">
      <alignment/>
    </xf>
    <xf numFmtId="164" fontId="14" fillId="0" borderId="24" xfId="15" applyNumberFormat="1" applyFont="1" applyBorder="1" applyAlignment="1">
      <alignment/>
    </xf>
    <xf numFmtId="164" fontId="14" fillId="0" borderId="24" xfId="15" applyNumberFormat="1" applyFont="1" applyFill="1" applyBorder="1" applyAlignment="1">
      <alignment horizontal="left"/>
    </xf>
    <xf numFmtId="0" fontId="12" fillId="0" borderId="0" xfId="0" applyFont="1" applyFill="1" applyBorder="1" applyAlignment="1">
      <alignment/>
    </xf>
    <xf numFmtId="0" fontId="12" fillId="0" borderId="0" xfId="0" applyFont="1" applyBorder="1" applyAlignment="1">
      <alignment horizontal="left"/>
    </xf>
    <xf numFmtId="0" fontId="12" fillId="0" borderId="27" xfId="0" applyFont="1" applyBorder="1" applyAlignment="1">
      <alignment/>
    </xf>
    <xf numFmtId="7" fontId="14" fillId="0" borderId="20" xfId="0" applyNumberFormat="1" applyFont="1" applyFill="1" applyBorder="1" applyAlignment="1">
      <alignment/>
    </xf>
    <xf numFmtId="5" fontId="15" fillId="2" borderId="0" xfId="15" applyNumberFormat="1" applyFont="1" applyFill="1" applyBorder="1" applyAlignment="1">
      <alignment horizontal="right" wrapText="1"/>
    </xf>
    <xf numFmtId="0" fontId="14" fillId="2" borderId="0" xfId="0" applyFont="1" applyFill="1" applyBorder="1" applyAlignment="1">
      <alignment/>
    </xf>
    <xf numFmtId="7" fontId="16" fillId="0" borderId="20" xfId="0" applyNumberFormat="1" applyFont="1" applyFill="1" applyBorder="1" applyAlignment="1">
      <alignment horizontal="left" wrapText="1"/>
    </xf>
    <xf numFmtId="7" fontId="14" fillId="0" borderId="20" xfId="18" applyNumberFormat="1" applyFont="1" applyFill="1" applyBorder="1" applyAlignment="1">
      <alignment horizontal="left" wrapText="1"/>
    </xf>
    <xf numFmtId="0" fontId="14" fillId="2" borderId="0" xfId="0" applyFont="1" applyFill="1" applyBorder="1" applyAlignment="1">
      <alignment horizontal="centerContinuous" wrapText="1"/>
    </xf>
    <xf numFmtId="7" fontId="14" fillId="0" borderId="20" xfId="0" applyNumberFormat="1" applyFont="1" applyBorder="1" applyAlignment="1">
      <alignment/>
    </xf>
    <xf numFmtId="0" fontId="14" fillId="0" borderId="20" xfId="0" applyFont="1" applyBorder="1" applyAlignment="1">
      <alignment/>
    </xf>
    <xf numFmtId="0" fontId="14" fillId="2" borderId="0" xfId="0" applyFont="1" applyFill="1" applyBorder="1" applyAlignment="1">
      <alignment horizontal="left"/>
    </xf>
    <xf numFmtId="7" fontId="10" fillId="0" borderId="20" xfId="18" applyNumberFormat="1" applyFont="1" applyFill="1" applyBorder="1" applyAlignment="1">
      <alignment horizontal="center" wrapText="1"/>
    </xf>
    <xf numFmtId="7" fontId="14" fillId="0" borderId="20" xfId="18" applyNumberFormat="1" applyFont="1" applyFill="1" applyBorder="1" applyAlignment="1">
      <alignment horizontal="right" wrapText="1"/>
    </xf>
    <xf numFmtId="43" fontId="14" fillId="0" borderId="0" xfId="15" applyFont="1" applyBorder="1" applyAlignment="1">
      <alignment horizontal="left"/>
    </xf>
    <xf numFmtId="0" fontId="14" fillId="0" borderId="27" xfId="0" applyFont="1" applyBorder="1" applyAlignment="1">
      <alignment/>
    </xf>
    <xf numFmtId="7" fontId="16" fillId="0" borderId="20" xfId="18" applyNumberFormat="1" applyFont="1" applyFill="1" applyBorder="1" applyAlignment="1">
      <alignment horizontal="left" wrapText="1"/>
    </xf>
    <xf numFmtId="7" fontId="14" fillId="0" borderId="20" xfId="18" applyNumberFormat="1" applyFont="1" applyFill="1" applyBorder="1" applyAlignment="1">
      <alignment horizontal="left"/>
    </xf>
    <xf numFmtId="5" fontId="5" fillId="0" borderId="0" xfId="15" applyNumberFormat="1" applyFont="1" applyBorder="1" applyAlignment="1">
      <alignment horizontal="right"/>
    </xf>
    <xf numFmtId="164" fontId="10" fillId="0" borderId="27" xfId="15" applyNumberFormat="1" applyFont="1" applyFill="1" applyBorder="1" applyAlignment="1">
      <alignment horizontal="right"/>
    </xf>
    <xf numFmtId="7" fontId="10" fillId="0" borderId="20" xfId="18" applyNumberFormat="1" applyFont="1" applyFill="1" applyBorder="1" applyAlignment="1">
      <alignment horizontal="left"/>
    </xf>
    <xf numFmtId="164" fontId="10" fillId="0" borderId="31" xfId="15" applyNumberFormat="1" applyFont="1" applyFill="1" applyBorder="1" applyAlignment="1">
      <alignment horizontal="right"/>
    </xf>
    <xf numFmtId="7" fontId="10" fillId="0" borderId="22" xfId="18" applyNumberFormat="1" applyFont="1" applyFill="1" applyBorder="1" applyAlignment="1">
      <alignment horizontal="left"/>
    </xf>
    <xf numFmtId="5" fontId="14" fillId="0" borderId="4" xfId="15" applyNumberFormat="1" applyFont="1" applyFill="1" applyBorder="1" applyAlignment="1">
      <alignment horizontal="right"/>
    </xf>
    <xf numFmtId="0" fontId="14" fillId="2" borderId="4" xfId="0" applyFont="1" applyFill="1" applyBorder="1" applyAlignment="1">
      <alignment horizontal="centerContinuous" wrapText="1"/>
    </xf>
    <xf numFmtId="5" fontId="10" fillId="0" borderId="33" xfId="17" applyNumberFormat="1" applyFont="1" applyFill="1" applyBorder="1" applyAlignment="1">
      <alignment horizontal="right"/>
    </xf>
    <xf numFmtId="5" fontId="15" fillId="2" borderId="27" xfId="15" applyNumberFormat="1" applyFont="1" applyFill="1" applyBorder="1" applyAlignment="1">
      <alignment horizontal="right" wrapText="1"/>
    </xf>
    <xf numFmtId="0" fontId="10" fillId="2" borderId="0" xfId="0" applyFont="1" applyFill="1" applyBorder="1" applyAlignment="1">
      <alignment/>
    </xf>
    <xf numFmtId="5" fontId="14" fillId="2" borderId="0" xfId="15" applyNumberFormat="1" applyFont="1" applyFill="1" applyBorder="1" applyAlignment="1">
      <alignment horizontal="right"/>
    </xf>
    <xf numFmtId="0" fontId="7" fillId="0" borderId="0" xfId="0" applyFont="1" applyBorder="1" applyAlignment="1">
      <alignment horizontal="centerContinuous"/>
    </xf>
    <xf numFmtId="164" fontId="5" fillId="0" borderId="0" xfId="15" applyNumberFormat="1" applyFont="1" applyBorder="1" applyAlignment="1">
      <alignment horizontal="centerContinuous"/>
    </xf>
    <xf numFmtId="164" fontId="10" fillId="2" borderId="0" xfId="15" applyNumberFormat="1" applyFont="1" applyFill="1" applyBorder="1" applyAlignment="1">
      <alignment horizontal="centerContinuous"/>
    </xf>
    <xf numFmtId="0" fontId="16" fillId="0" borderId="0" xfId="0" applyFont="1" applyBorder="1" applyAlignment="1">
      <alignment/>
    </xf>
    <xf numFmtId="164" fontId="16" fillId="0" borderId="0" xfId="15" applyNumberFormat="1" applyFont="1" applyBorder="1" applyAlignment="1">
      <alignment/>
    </xf>
    <xf numFmtId="164" fontId="16" fillId="0" borderId="14" xfId="15" applyNumberFormat="1" applyFont="1" applyBorder="1" applyAlignment="1">
      <alignment/>
    </xf>
    <xf numFmtId="164" fontId="16" fillId="0" borderId="27" xfId="15" applyNumberFormat="1" applyFont="1" applyBorder="1" applyAlignment="1">
      <alignment/>
    </xf>
    <xf numFmtId="164" fontId="14" fillId="0" borderId="34" xfId="15" applyNumberFormat="1" applyFont="1" applyBorder="1" applyAlignment="1">
      <alignment/>
    </xf>
    <xf numFmtId="0" fontId="58" fillId="0" borderId="0" xfId="0" applyFont="1" applyAlignment="1">
      <alignment horizontal="center"/>
    </xf>
    <xf numFmtId="0" fontId="1" fillId="0" borderId="0" xfId="0" applyFont="1" applyAlignment="1">
      <alignment/>
    </xf>
    <xf numFmtId="0" fontId="5" fillId="0" borderId="0" xfId="0" applyNumberFormat="1" applyFont="1" applyBorder="1" applyAlignment="1">
      <alignment horizontal="left"/>
    </xf>
    <xf numFmtId="41" fontId="5" fillId="0" borderId="0" xfId="0" applyNumberFormat="1" applyFont="1" applyBorder="1" applyAlignment="1">
      <alignment/>
    </xf>
    <xf numFmtId="37" fontId="0" fillId="0" borderId="0" xfId="0" applyNumberFormat="1" applyAlignment="1">
      <alignment/>
    </xf>
    <xf numFmtId="37" fontId="1" fillId="0" borderId="0" xfId="0" applyNumberFormat="1" applyFont="1" applyAlignment="1">
      <alignment/>
    </xf>
    <xf numFmtId="164" fontId="58" fillId="0" borderId="0" xfId="15" applyNumberFormat="1" applyFont="1" applyAlignment="1">
      <alignment horizontal="center"/>
    </xf>
    <xf numFmtId="5" fontId="8" fillId="0" borderId="0" xfId="0" applyNumberFormat="1" applyFont="1" applyBorder="1" applyAlignment="1">
      <alignment horizontal="right"/>
    </xf>
    <xf numFmtId="37" fontId="0" fillId="0" borderId="4" xfId="0" applyNumberFormat="1" applyBorder="1" applyAlignment="1">
      <alignment/>
    </xf>
    <xf numFmtId="164" fontId="0" fillId="0" borderId="4" xfId="15" applyNumberFormat="1" applyBorder="1" applyAlignment="1">
      <alignment/>
    </xf>
    <xf numFmtId="164" fontId="1" fillId="0" borderId="0" xfId="15" applyNumberFormat="1" applyFont="1" applyAlignment="1">
      <alignment/>
    </xf>
    <xf numFmtId="164" fontId="1" fillId="0" borderId="2" xfId="15" applyNumberFormat="1" applyFont="1" applyBorder="1" applyAlignment="1">
      <alignment/>
    </xf>
    <xf numFmtId="164" fontId="1" fillId="0" borderId="4" xfId="15" applyNumberFormat="1" applyFont="1" applyBorder="1" applyAlignment="1">
      <alignment/>
    </xf>
    <xf numFmtId="164" fontId="0" fillId="0" borderId="0" xfId="0" applyNumberFormat="1" applyAlignment="1">
      <alignment/>
    </xf>
    <xf numFmtId="164" fontId="1" fillId="0" borderId="2" xfId="15" applyNumberFormat="1" applyFont="1" applyBorder="1" applyAlignment="1">
      <alignment/>
    </xf>
    <xf numFmtId="5" fontId="8" fillId="0" borderId="6" xfId="0" applyNumberFormat="1" applyFont="1" applyBorder="1" applyAlignment="1">
      <alignment horizontal="right"/>
    </xf>
    <xf numFmtId="164" fontId="5" fillId="0" borderId="0" xfId="15" applyNumberFormat="1" applyFont="1" applyBorder="1" applyAlignment="1">
      <alignment/>
    </xf>
    <xf numFmtId="164" fontId="5" fillId="0" borderId="0" xfId="15" applyNumberFormat="1" applyFont="1" applyBorder="1" applyAlignment="1">
      <alignment horizontal="left"/>
    </xf>
    <xf numFmtId="164" fontId="5" fillId="0" borderId="0" xfId="15" applyNumberFormat="1" applyFont="1" applyFill="1" applyBorder="1" applyAlignment="1">
      <alignment horizontal="right"/>
    </xf>
    <xf numFmtId="164" fontId="8" fillId="0" borderId="0" xfId="15" applyNumberFormat="1" applyFont="1" applyBorder="1" applyAlignment="1">
      <alignment horizontal="left"/>
    </xf>
    <xf numFmtId="164" fontId="8" fillId="0" borderId="0" xfId="15" applyNumberFormat="1" applyFont="1" applyBorder="1" applyAlignment="1">
      <alignment horizontal="left"/>
    </xf>
    <xf numFmtId="164" fontId="5" fillId="0" borderId="4" xfId="15" applyNumberFormat="1" applyFont="1" applyFill="1" applyBorder="1" applyAlignment="1">
      <alignment horizontal="left"/>
    </xf>
    <xf numFmtId="164" fontId="8" fillId="0" borderId="2" xfId="15" applyNumberFormat="1" applyFont="1" applyBorder="1" applyAlignment="1">
      <alignment horizontal="left"/>
    </xf>
    <xf numFmtId="164" fontId="8" fillId="0" borderId="0" xfId="15" applyNumberFormat="1" applyFont="1" applyBorder="1" applyAlignment="1">
      <alignment horizontal="center"/>
    </xf>
    <xf numFmtId="164" fontId="8" fillId="0" borderId="2" xfId="15" applyNumberFormat="1" applyFont="1" applyBorder="1" applyAlignment="1">
      <alignment horizontal="center"/>
    </xf>
    <xf numFmtId="164" fontId="8" fillId="0" borderId="0" xfId="15" applyNumberFormat="1" applyFont="1" applyFill="1" applyBorder="1" applyAlignment="1">
      <alignment horizontal="left"/>
    </xf>
    <xf numFmtId="164" fontId="8" fillId="0" borderId="4" xfId="15" applyNumberFormat="1" applyFont="1" applyBorder="1" applyAlignment="1">
      <alignment horizontal="left"/>
    </xf>
    <xf numFmtId="164" fontId="8" fillId="0" borderId="6" xfId="15" applyNumberFormat="1" applyFont="1" applyBorder="1" applyAlignment="1">
      <alignment horizontal="left"/>
    </xf>
    <xf numFmtId="0" fontId="14" fillId="0" borderId="0" xfId="0" applyFont="1" applyAlignment="1" quotePrefix="1">
      <alignment/>
    </xf>
    <xf numFmtId="39" fontId="0" fillId="0" borderId="0" xfId="0" applyNumberFormat="1" applyAlignment="1">
      <alignment/>
    </xf>
    <xf numFmtId="164" fontId="5" fillId="0" borderId="0" xfId="15" applyNumberFormat="1" applyFont="1" applyBorder="1" applyAlignment="1">
      <alignment horizontal="left"/>
    </xf>
    <xf numFmtId="37" fontId="0" fillId="0" borderId="0" xfId="0" applyNumberFormat="1" applyFont="1" applyAlignment="1">
      <alignment/>
    </xf>
    <xf numFmtId="43" fontId="0" fillId="0" borderId="0" xfId="15" applyFont="1" applyAlignment="1">
      <alignment/>
    </xf>
    <xf numFmtId="164" fontId="0" fillId="0" borderId="0" xfId="15" applyNumberFormat="1" applyFont="1" applyAlignment="1">
      <alignment/>
    </xf>
    <xf numFmtId="164" fontId="5" fillId="0" borderId="4" xfId="15" applyNumberFormat="1" applyFont="1" applyBorder="1" applyAlignment="1">
      <alignment horizontal="left"/>
    </xf>
    <xf numFmtId="43" fontId="1" fillId="0" borderId="0" xfId="15" applyFont="1" applyAlignment="1">
      <alignment/>
    </xf>
    <xf numFmtId="43" fontId="0" fillId="0" borderId="4" xfId="15" applyBorder="1" applyAlignment="1">
      <alignment/>
    </xf>
    <xf numFmtId="164" fontId="5" fillId="0" borderId="0" xfId="15" applyNumberFormat="1" applyFont="1" applyFill="1" applyBorder="1" applyAlignment="1">
      <alignment horizontal="left"/>
    </xf>
    <xf numFmtId="0" fontId="0" fillId="0" borderId="4" xfId="0" applyBorder="1" applyAlignment="1">
      <alignment/>
    </xf>
    <xf numFmtId="164" fontId="59" fillId="0" borderId="0" xfId="15" applyNumberFormat="1" applyFont="1" applyAlignment="1">
      <alignment/>
    </xf>
    <xf numFmtId="0" fontId="60" fillId="0" borderId="0" xfId="0" applyFont="1" applyAlignment="1">
      <alignment/>
    </xf>
    <xf numFmtId="164" fontId="59" fillId="0" borderId="0" xfId="15" applyNumberFormat="1" applyFont="1" applyAlignment="1">
      <alignment/>
    </xf>
    <xf numFmtId="164" fontId="59" fillId="0" borderId="4" xfId="15" applyNumberFormat="1" applyFont="1" applyBorder="1" applyAlignment="1">
      <alignment/>
    </xf>
    <xf numFmtId="164" fontId="36" fillId="0" borderId="0" xfId="15" applyNumberFormat="1" applyFont="1" applyBorder="1" applyAlignment="1">
      <alignment horizontal="right"/>
    </xf>
    <xf numFmtId="164" fontId="59" fillId="0" borderId="0" xfId="15" applyNumberFormat="1" applyFont="1" applyBorder="1" applyAlignment="1">
      <alignment/>
    </xf>
    <xf numFmtId="164" fontId="36" fillId="0" borderId="0" xfId="0" applyNumberFormat="1" applyFont="1" applyBorder="1" applyAlignment="1">
      <alignment horizontal="right"/>
    </xf>
    <xf numFmtId="164" fontId="60" fillId="0" borderId="6" xfId="15" applyNumberFormat="1" applyFont="1" applyBorder="1" applyAlignment="1">
      <alignment/>
    </xf>
    <xf numFmtId="164" fontId="36" fillId="0" borderId="5" xfId="15" applyNumberFormat="1" applyFont="1" applyBorder="1" applyAlignment="1">
      <alignment horizontal="left"/>
    </xf>
    <xf numFmtId="0" fontId="1" fillId="0" borderId="5" xfId="0" applyFont="1" applyBorder="1" applyAlignment="1">
      <alignment/>
    </xf>
    <xf numFmtId="0" fontId="1" fillId="0" borderId="0" xfId="0" applyFont="1" applyBorder="1" applyAlignment="1">
      <alignment/>
    </xf>
    <xf numFmtId="10" fontId="1" fillId="0" borderId="2" xfId="21" applyNumberFormat="1" applyFont="1" applyBorder="1" applyAlignment="1">
      <alignment horizontal="center"/>
    </xf>
    <xf numFmtId="164" fontId="8" fillId="0" borderId="0" xfId="15" applyNumberFormat="1" applyFont="1" applyBorder="1" applyAlignment="1">
      <alignment horizontal="right"/>
    </xf>
    <xf numFmtId="0" fontId="1" fillId="0" borderId="4" xfId="0" applyFont="1" applyBorder="1" applyAlignment="1">
      <alignment/>
    </xf>
    <xf numFmtId="0" fontId="1" fillId="0" borderId="6" xfId="0" applyFont="1" applyBorder="1" applyAlignment="1">
      <alignment/>
    </xf>
    <xf numFmtId="10" fontId="8" fillId="0" borderId="0" xfId="21" applyNumberFormat="1" applyFont="1" applyBorder="1" applyAlignment="1">
      <alignment horizontal="right"/>
    </xf>
    <xf numFmtId="10" fontId="1" fillId="0" borderId="0" xfId="21" applyNumberFormat="1" applyFont="1" applyAlignment="1">
      <alignment horizontal="center"/>
    </xf>
    <xf numFmtId="10" fontId="1" fillId="0" borderId="0" xfId="21" applyNumberFormat="1" applyFont="1" applyAlignment="1">
      <alignment horizontal="center"/>
    </xf>
    <xf numFmtId="10" fontId="1" fillId="0" borderId="0" xfId="21" applyNumberFormat="1" applyFont="1" applyAlignment="1">
      <alignment horizontal="right"/>
    </xf>
    <xf numFmtId="10" fontId="8" fillId="0" borderId="4" xfId="21" applyNumberFormat="1" applyFont="1" applyBorder="1" applyAlignment="1">
      <alignment horizontal="right"/>
    </xf>
    <xf numFmtId="10" fontId="60" fillId="0" borderId="0" xfId="21" applyNumberFormat="1" applyFont="1" applyAlignment="1">
      <alignment horizontal="right"/>
    </xf>
    <xf numFmtId="10" fontId="60" fillId="0" borderId="4" xfId="21" applyNumberFormat="1" applyFont="1" applyBorder="1" applyAlignment="1">
      <alignment horizontal="right"/>
    </xf>
    <xf numFmtId="164" fontId="0" fillId="0" borderId="0" xfId="15" applyNumberFormat="1" applyFont="1" applyAlignment="1">
      <alignment/>
    </xf>
    <xf numFmtId="37" fontId="0" fillId="0" borderId="0" xfId="0" applyNumberFormat="1" applyFont="1" applyAlignment="1">
      <alignment/>
    </xf>
    <xf numFmtId="43" fontId="0" fillId="0" borderId="0" xfId="15" applyFont="1" applyAlignment="1">
      <alignment/>
    </xf>
    <xf numFmtId="10" fontId="1" fillId="0" borderId="6" xfId="21" applyNumberFormat="1" applyFont="1" applyBorder="1" applyAlignment="1">
      <alignment horizontal="center"/>
    </xf>
    <xf numFmtId="10" fontId="1" fillId="0" borderId="5" xfId="21" applyNumberFormat="1" applyFont="1" applyBorder="1" applyAlignment="1">
      <alignment horizontal="center"/>
    </xf>
    <xf numFmtId="164" fontId="60" fillId="0" borderId="4" xfId="15" applyNumberFormat="1" applyFont="1" applyBorder="1" applyAlignment="1">
      <alignment/>
    </xf>
    <xf numFmtId="164" fontId="8" fillId="0" borderId="0" xfId="15" applyNumberFormat="1" applyFont="1" applyFill="1" applyBorder="1" applyAlignment="1">
      <alignment horizontal="right"/>
    </xf>
    <xf numFmtId="0" fontId="0" fillId="0" borderId="19" xfId="0" applyBorder="1" applyAlignment="1">
      <alignment/>
    </xf>
    <xf numFmtId="0" fontId="1" fillId="0" borderId="19" xfId="0" applyFont="1" applyBorder="1" applyAlignment="1">
      <alignment/>
    </xf>
    <xf numFmtId="10" fontId="1" fillId="0" borderId="19" xfId="21" applyNumberFormat="1" applyFont="1" applyBorder="1" applyAlignment="1">
      <alignment horizontal="center"/>
    </xf>
    <xf numFmtId="37" fontId="0" fillId="0" borderId="0" xfId="0" applyNumberFormat="1" applyFont="1" applyBorder="1" applyAlignment="1">
      <alignment/>
    </xf>
    <xf numFmtId="43" fontId="0" fillId="0" borderId="0" xfId="15" applyFont="1" applyBorder="1" applyAlignment="1">
      <alignment/>
    </xf>
    <xf numFmtId="0" fontId="0" fillId="0" borderId="0" xfId="0" applyBorder="1" applyAlignment="1">
      <alignment/>
    </xf>
    <xf numFmtId="10" fontId="1" fillId="0" borderId="0" xfId="21" applyNumberFormat="1" applyFont="1" applyBorder="1" applyAlignment="1">
      <alignment horizontal="center"/>
    </xf>
    <xf numFmtId="164" fontId="8" fillId="0" borderId="0" xfId="15" applyNumberFormat="1" applyFont="1" applyFill="1" applyBorder="1" applyAlignment="1">
      <alignment horizontal="left"/>
    </xf>
    <xf numFmtId="164" fontId="8" fillId="0" borderId="19" xfId="15" applyNumberFormat="1" applyFont="1" applyBorder="1" applyAlignment="1">
      <alignment horizontal="left"/>
    </xf>
    <xf numFmtId="37" fontId="1" fillId="0" borderId="19" xfId="0" applyNumberFormat="1" applyFont="1" applyBorder="1" applyAlignment="1">
      <alignment/>
    </xf>
    <xf numFmtId="43" fontId="1" fillId="0" borderId="19" xfId="15" applyFont="1" applyBorder="1" applyAlignment="1">
      <alignment/>
    </xf>
    <xf numFmtId="164" fontId="60" fillId="0" borderId="19" xfId="15" applyNumberFormat="1" applyFont="1" applyBorder="1" applyAlignment="1">
      <alignment/>
    </xf>
    <xf numFmtId="0" fontId="1" fillId="0" borderId="0" xfId="0" applyFont="1" applyAlignment="1">
      <alignment/>
    </xf>
    <xf numFmtId="0" fontId="1" fillId="0" borderId="0" xfId="0" applyFont="1" applyBorder="1" applyAlignment="1">
      <alignment/>
    </xf>
    <xf numFmtId="165" fontId="8" fillId="0" borderId="0" xfId="17" applyNumberFormat="1" applyFont="1" applyBorder="1" applyAlignment="1">
      <alignment horizontal="left"/>
    </xf>
    <xf numFmtId="165" fontId="1" fillId="0" borderId="0" xfId="17" applyNumberFormat="1" applyFont="1" applyBorder="1" applyAlignment="1">
      <alignment/>
    </xf>
    <xf numFmtId="165" fontId="60" fillId="0" borderId="0" xfId="17" applyNumberFormat="1" applyFont="1" applyBorder="1" applyAlignment="1">
      <alignment/>
    </xf>
    <xf numFmtId="165" fontId="8" fillId="0" borderId="35" xfId="17" applyNumberFormat="1" applyFont="1" applyBorder="1" applyAlignment="1">
      <alignment horizontal="left"/>
    </xf>
    <xf numFmtId="165" fontId="1" fillId="0" borderId="35" xfId="17" applyNumberFormat="1" applyFont="1" applyBorder="1" applyAlignment="1">
      <alignment/>
    </xf>
    <xf numFmtId="165" fontId="60" fillId="0" borderId="35" xfId="17" applyNumberFormat="1" applyFont="1" applyBorder="1" applyAlignment="1">
      <alignment/>
    </xf>
    <xf numFmtId="10" fontId="8" fillId="0" borderId="35" xfId="21" applyNumberFormat="1" applyFont="1" applyBorder="1" applyAlignment="1">
      <alignment horizontal="right"/>
    </xf>
    <xf numFmtId="0" fontId="61" fillId="0" borderId="0" xfId="0" applyFont="1" applyAlignment="1">
      <alignment/>
    </xf>
    <xf numFmtId="0" fontId="42" fillId="0" borderId="0" xfId="0" applyNumberFormat="1" applyFont="1" applyBorder="1" applyAlignment="1">
      <alignment horizontal="left"/>
    </xf>
    <xf numFmtId="5" fontId="42" fillId="0" borderId="0" xfId="0" applyNumberFormat="1" applyFont="1" applyBorder="1" applyAlignment="1">
      <alignment horizontal="right"/>
    </xf>
    <xf numFmtId="37" fontId="61" fillId="0" borderId="0" xfId="0" applyNumberFormat="1" applyFont="1" applyAlignment="1">
      <alignment/>
    </xf>
    <xf numFmtId="43" fontId="61" fillId="0" borderId="0" xfId="15" applyFont="1" applyAlignment="1">
      <alignment/>
    </xf>
    <xf numFmtId="164" fontId="42" fillId="0" borderId="0" xfId="15" applyNumberFormat="1" applyFont="1" applyBorder="1" applyAlignment="1">
      <alignment horizontal="right"/>
    </xf>
    <xf numFmtId="164" fontId="61" fillId="0" borderId="0" xfId="15" applyNumberFormat="1" applyFont="1" applyAlignment="1">
      <alignment/>
    </xf>
    <xf numFmtId="10" fontId="42" fillId="0" borderId="0" xfId="21" applyNumberFormat="1" applyFont="1" applyBorder="1" applyAlignment="1">
      <alignment horizontal="right"/>
    </xf>
    <xf numFmtId="164" fontId="1" fillId="0" borderId="0" xfId="15" applyNumberFormat="1" applyFont="1" applyBorder="1" applyAlignment="1">
      <alignment/>
    </xf>
    <xf numFmtId="164" fontId="60" fillId="0" borderId="0" xfId="15" applyNumberFormat="1" applyFont="1" applyBorder="1" applyAlignment="1">
      <alignment/>
    </xf>
    <xf numFmtId="0" fontId="60" fillId="0" borderId="4" xfId="0" applyFont="1" applyBorder="1" applyAlignment="1">
      <alignment/>
    </xf>
    <xf numFmtId="165" fontId="5" fillId="0" borderId="0" xfId="17" applyNumberFormat="1" applyFont="1" applyBorder="1" applyAlignment="1">
      <alignment horizontal="left"/>
    </xf>
    <xf numFmtId="165" fontId="0" fillId="0" borderId="0" xfId="17" applyNumberFormat="1" applyFont="1" applyAlignment="1">
      <alignment/>
    </xf>
    <xf numFmtId="165" fontId="59" fillId="0" borderId="0" xfId="17" applyNumberFormat="1" applyFont="1" applyAlignment="1">
      <alignment/>
    </xf>
    <xf numFmtId="165" fontId="0" fillId="0" borderId="0" xfId="17" applyNumberFormat="1" applyAlignment="1">
      <alignment/>
    </xf>
    <xf numFmtId="165" fontId="8" fillId="0" borderId="6" xfId="17" applyNumberFormat="1" applyFont="1" applyBorder="1" applyAlignment="1">
      <alignment horizontal="right"/>
    </xf>
    <xf numFmtId="165" fontId="0" fillId="0" borderId="6" xfId="17" applyNumberFormat="1" applyBorder="1" applyAlignment="1">
      <alignment/>
    </xf>
    <xf numFmtId="165" fontId="36" fillId="0" borderId="6" xfId="17" applyNumberFormat="1" applyFont="1" applyBorder="1" applyAlignment="1">
      <alignment horizontal="right"/>
    </xf>
    <xf numFmtId="10" fontId="5" fillId="0" borderId="0" xfId="21" applyNumberFormat="1" applyFont="1" applyBorder="1" applyAlignment="1">
      <alignment horizontal="right" wrapText="1"/>
    </xf>
    <xf numFmtId="10" fontId="8" fillId="0" borderId="0" xfId="21" applyNumberFormat="1" applyFont="1" applyBorder="1" applyAlignment="1">
      <alignment horizontal="right" wrapText="1"/>
    </xf>
    <xf numFmtId="10" fontId="5" fillId="3" borderId="0" xfId="21" applyNumberFormat="1" applyFont="1" applyFill="1" applyBorder="1" applyAlignment="1">
      <alignment horizontal="right" wrapText="1"/>
    </xf>
    <xf numFmtId="10" fontId="5" fillId="0" borderId="0" xfId="21" applyNumberFormat="1" applyFont="1" applyAlignment="1">
      <alignment horizontal="right" wrapText="1"/>
    </xf>
    <xf numFmtId="38" fontId="8" fillId="0" borderId="0" xfId="0" applyNumberFormat="1" applyFont="1" applyFill="1" applyBorder="1" applyAlignment="1">
      <alignment horizontal="right"/>
    </xf>
    <xf numFmtId="0" fontId="55" fillId="0" borderId="0" xfId="0" applyFont="1" applyAlignment="1">
      <alignment horizontal="left" vertical="center" wrapText="1"/>
    </xf>
    <xf numFmtId="0" fontId="0" fillId="0" borderId="0" xfId="0" applyAlignment="1">
      <alignment horizontal="left" vertical="center" wrapText="1"/>
    </xf>
    <xf numFmtId="0" fontId="62" fillId="0" borderId="0" xfId="0" applyFont="1" applyAlignment="1">
      <alignment horizontal="left" vertical="center" wrapText="1"/>
    </xf>
    <xf numFmtId="0" fontId="62" fillId="0" borderId="0" xfId="0" applyFont="1" applyAlignment="1">
      <alignment/>
    </xf>
    <xf numFmtId="0" fontId="62" fillId="0" borderId="0" xfId="0" applyFont="1" applyAlignment="1">
      <alignment horizontal="center"/>
    </xf>
    <xf numFmtId="0" fontId="63" fillId="0" borderId="0" xfId="0" applyFont="1" applyAlignment="1">
      <alignment horizontal="center"/>
    </xf>
    <xf numFmtId="0" fontId="64" fillId="0" borderId="0" xfId="0" applyFont="1" applyAlignment="1">
      <alignment horizontal="right"/>
    </xf>
    <xf numFmtId="5" fontId="62" fillId="0" borderId="0" xfId="0" applyNumberFormat="1" applyFont="1" applyAlignment="1">
      <alignment/>
    </xf>
    <xf numFmtId="5" fontId="62" fillId="0" borderId="0" xfId="0" applyNumberFormat="1" applyFont="1" applyBorder="1" applyAlignment="1">
      <alignment/>
    </xf>
    <xf numFmtId="5" fontId="62" fillId="0" borderId="0" xfId="0" applyNumberFormat="1" applyFont="1" applyAlignment="1">
      <alignment horizontal="right"/>
    </xf>
    <xf numFmtId="38" fontId="62" fillId="0" borderId="0" xfId="0" applyNumberFormat="1" applyFont="1" applyAlignment="1">
      <alignment horizontal="right"/>
    </xf>
    <xf numFmtId="5" fontId="62" fillId="0" borderId="6" xfId="0" applyNumberFormat="1" applyFont="1" applyBorder="1" applyAlignment="1">
      <alignment horizontal="right"/>
    </xf>
    <xf numFmtId="164" fontId="35" fillId="0" borderId="0" xfId="15" applyNumberFormat="1" applyFont="1" applyFill="1" applyBorder="1" applyAlignment="1">
      <alignment horizontal="right"/>
    </xf>
    <xf numFmtId="164" fontId="10" fillId="0" borderId="6" xfId="15" applyNumberFormat="1" applyFont="1" applyBorder="1" applyAlignment="1">
      <alignment/>
    </xf>
    <xf numFmtId="7" fontId="13" fillId="0" borderId="0" xfId="0" applyNumberFormat="1" applyFont="1" applyFill="1" applyBorder="1" applyAlignment="1" quotePrefix="1">
      <alignment horizontal="center"/>
    </xf>
    <xf numFmtId="164" fontId="47" fillId="0" borderId="0" xfId="15" applyNumberFormat="1" applyFont="1" applyBorder="1" applyAlignment="1">
      <alignment/>
    </xf>
    <xf numFmtId="164" fontId="6" fillId="0" borderId="0" xfId="15" applyNumberFormat="1" applyFont="1" applyBorder="1" applyAlignment="1">
      <alignment/>
    </xf>
    <xf numFmtId="164" fontId="10" fillId="0" borderId="0" xfId="15" applyNumberFormat="1" applyFont="1" applyBorder="1" applyAlignment="1">
      <alignment/>
    </xf>
    <xf numFmtId="165" fontId="14" fillId="0" borderId="0" xfId="17" applyNumberFormat="1" applyFont="1" applyBorder="1" applyAlignment="1">
      <alignment/>
    </xf>
    <xf numFmtId="0" fontId="4" fillId="0" borderId="0" xfId="0" applyFont="1" applyFill="1" applyBorder="1" applyAlignment="1">
      <alignment horizontal="centerContinuous"/>
    </xf>
    <xf numFmtId="164" fontId="6" fillId="0" borderId="0" xfId="15" applyNumberFormat="1" applyFont="1" applyBorder="1" applyAlignment="1">
      <alignment/>
    </xf>
    <xf numFmtId="0" fontId="6" fillId="0" borderId="0" xfId="0" applyFont="1" applyBorder="1" applyAlignment="1">
      <alignment/>
    </xf>
    <xf numFmtId="164" fontId="31" fillId="0" borderId="0" xfId="15" applyNumberFormat="1" applyFont="1" applyAlignment="1">
      <alignment/>
    </xf>
    <xf numFmtId="38" fontId="31" fillId="0" borderId="0" xfId="0" applyNumberFormat="1" applyFont="1" applyAlignment="1">
      <alignment/>
    </xf>
    <xf numFmtId="43" fontId="38" fillId="0" borderId="0" xfId="0" applyNumberFormat="1" applyFont="1" applyBorder="1" applyAlignment="1">
      <alignment/>
    </xf>
    <xf numFmtId="172" fontId="38" fillId="0" borderId="0" xfId="15" applyNumberFormat="1" applyFont="1" applyAlignment="1">
      <alignment/>
    </xf>
    <xf numFmtId="172" fontId="38" fillId="0" borderId="0" xfId="15" applyNumberFormat="1" applyFont="1" applyBorder="1" applyAlignment="1">
      <alignment/>
    </xf>
    <xf numFmtId="8" fontId="14" fillId="0" borderId="0" xfId="15" applyNumberFormat="1" applyFont="1" applyBorder="1" applyAlignment="1">
      <alignment/>
    </xf>
    <xf numFmtId="164" fontId="4" fillId="0" borderId="0" xfId="0" applyNumberFormat="1" applyFont="1" applyFill="1" applyBorder="1" applyAlignment="1">
      <alignment horizontal="centerContinuous"/>
    </xf>
    <xf numFmtId="164" fontId="4" fillId="0" borderId="0" xfId="15" applyNumberFormat="1" applyFont="1" applyFill="1" applyBorder="1" applyAlignment="1">
      <alignment horizontal="centerContinuous"/>
    </xf>
    <xf numFmtId="164" fontId="20" fillId="0" borderId="0" xfId="15" applyNumberFormat="1" applyFont="1" applyBorder="1" applyAlignment="1">
      <alignment horizontal="centerContinuous"/>
    </xf>
    <xf numFmtId="164" fontId="20" fillId="0" borderId="0" xfId="15" applyNumberFormat="1" applyFont="1" applyFill="1" applyBorder="1" applyAlignment="1">
      <alignment horizontal="centerContinuous"/>
    </xf>
    <xf numFmtId="164" fontId="21" fillId="2" borderId="0" xfId="15" applyNumberFormat="1" applyFont="1" applyFill="1" applyBorder="1" applyAlignment="1">
      <alignment horizontal="center" wrapText="1"/>
    </xf>
    <xf numFmtId="0" fontId="65" fillId="0" borderId="0" xfId="0" applyFont="1" applyAlignment="1">
      <alignment/>
    </xf>
    <xf numFmtId="5" fontId="15" fillId="2" borderId="0" xfId="15" applyNumberFormat="1" applyFont="1" applyFill="1" applyBorder="1" applyAlignment="1">
      <alignment horizontal="center" wrapText="1"/>
    </xf>
    <xf numFmtId="7" fontId="14" fillId="0" borderId="0" xfId="0" applyNumberFormat="1" applyFont="1" applyFill="1" applyBorder="1" applyAlignment="1">
      <alignment/>
    </xf>
    <xf numFmtId="7" fontId="16" fillId="0" borderId="0" xfId="0" applyNumberFormat="1" applyFont="1" applyFill="1" applyBorder="1" applyAlignment="1">
      <alignment horizontal="left" wrapText="1"/>
    </xf>
    <xf numFmtId="7" fontId="14" fillId="0" borderId="0" xfId="18" applyNumberFormat="1" applyFont="1" applyFill="1" applyBorder="1" applyAlignment="1">
      <alignment horizontal="left" wrapText="1"/>
    </xf>
    <xf numFmtId="7" fontId="10" fillId="0" borderId="0" xfId="18" applyNumberFormat="1" applyFont="1" applyFill="1" applyBorder="1" applyAlignment="1">
      <alignment horizontal="center" wrapText="1"/>
    </xf>
    <xf numFmtId="7" fontId="14" fillId="0" borderId="0" xfId="18" applyNumberFormat="1" applyFont="1" applyFill="1" applyBorder="1" applyAlignment="1">
      <alignment horizontal="right" wrapText="1"/>
    </xf>
    <xf numFmtId="7" fontId="16" fillId="0" borderId="0" xfId="18" applyNumberFormat="1" applyFont="1" applyFill="1" applyBorder="1" applyAlignment="1">
      <alignment horizontal="left" wrapText="1"/>
    </xf>
    <xf numFmtId="7" fontId="14" fillId="0" borderId="0" xfId="18" applyNumberFormat="1" applyFont="1" applyFill="1" applyBorder="1" applyAlignment="1">
      <alignment horizontal="left"/>
    </xf>
    <xf numFmtId="7" fontId="10" fillId="0" borderId="0" xfId="18" applyNumberFormat="1" applyFont="1" applyFill="1" applyBorder="1" applyAlignment="1">
      <alignment horizontal="left"/>
    </xf>
    <xf numFmtId="5" fontId="14" fillId="0" borderId="0" xfId="0" applyNumberFormat="1" applyFont="1" applyAlignment="1">
      <alignment/>
    </xf>
    <xf numFmtId="164" fontId="14" fillId="0" borderId="0" xfId="0" applyNumberFormat="1" applyFont="1" applyAlignment="1">
      <alignment/>
    </xf>
    <xf numFmtId="7" fontId="10" fillId="2" borderId="4" xfId="15" applyNumberFormat="1" applyFont="1" applyFill="1" applyBorder="1" applyAlignment="1">
      <alignment horizontal="centerContinuous"/>
    </xf>
    <xf numFmtId="7" fontId="10" fillId="2" borderId="0" xfId="15" applyNumberFormat="1" applyFont="1" applyFill="1" applyBorder="1" applyAlignment="1">
      <alignment horizontal="centerContinuous"/>
    </xf>
    <xf numFmtId="7" fontId="16" fillId="0" borderId="0" xfId="15" applyNumberFormat="1" applyFont="1" applyBorder="1" applyAlignment="1">
      <alignment/>
    </xf>
    <xf numFmtId="7" fontId="16" fillId="0" borderId="14" xfId="15" applyNumberFormat="1" applyFont="1" applyBorder="1" applyAlignment="1">
      <alignment/>
    </xf>
    <xf numFmtId="7" fontId="16" fillId="0" borderId="0" xfId="0" applyNumberFormat="1" applyFont="1" applyBorder="1" applyAlignment="1">
      <alignment/>
    </xf>
    <xf numFmtId="7" fontId="16" fillId="0" borderId="27" xfId="15" applyNumberFormat="1" applyFont="1" applyBorder="1" applyAlignment="1">
      <alignment/>
    </xf>
    <xf numFmtId="7" fontId="14" fillId="0" borderId="27" xfId="15" applyNumberFormat="1" applyFont="1" applyBorder="1" applyAlignment="1">
      <alignment/>
    </xf>
    <xf numFmtId="7" fontId="14" fillId="0" borderId="15" xfId="15" applyNumberFormat="1" applyFont="1" applyBorder="1" applyAlignment="1">
      <alignment/>
    </xf>
    <xf numFmtId="7" fontId="10" fillId="0" borderId="0" xfId="0" applyNumberFormat="1" applyFont="1" applyBorder="1" applyAlignment="1">
      <alignment/>
    </xf>
    <xf numFmtId="0" fontId="6" fillId="0" borderId="0" xfId="0" applyFont="1" applyFill="1" applyBorder="1" applyAlignment="1">
      <alignment/>
    </xf>
    <xf numFmtId="43" fontId="10" fillId="0" borderId="0" xfId="0" applyNumberFormat="1" applyFont="1" applyFill="1" applyBorder="1" applyAlignment="1">
      <alignment horizontal="left" wrapText="1"/>
    </xf>
    <xf numFmtId="0" fontId="10" fillId="0" borderId="0" xfId="0" applyFont="1" applyFill="1" applyBorder="1" applyAlignment="1">
      <alignment horizontal="left" wrapText="1"/>
    </xf>
    <xf numFmtId="43" fontId="16" fillId="0" borderId="0" xfId="0" applyNumberFormat="1" applyFont="1" applyFill="1" applyBorder="1" applyAlignment="1">
      <alignment horizontal="left" wrapText="1"/>
    </xf>
    <xf numFmtId="164" fontId="16" fillId="0" borderId="0" xfId="0" applyNumberFormat="1" applyFont="1" applyFill="1" applyBorder="1" applyAlignment="1">
      <alignment horizontal="left" wrapText="1"/>
    </xf>
    <xf numFmtId="164" fontId="16" fillId="0" borderId="0" xfId="15" applyNumberFormat="1" applyFont="1" applyFill="1" applyBorder="1" applyAlignment="1">
      <alignment horizontal="left" wrapText="1"/>
    </xf>
    <xf numFmtId="0" fontId="14" fillId="0" borderId="0" xfId="0" applyFont="1" applyFill="1" applyBorder="1" applyAlignment="1">
      <alignment horizontal="left" wrapText="1"/>
    </xf>
    <xf numFmtId="43" fontId="14" fillId="0" borderId="0" xfId="0" applyNumberFormat="1" applyFont="1" applyFill="1" applyBorder="1" applyAlignment="1">
      <alignment/>
    </xf>
    <xf numFmtId="5" fontId="14" fillId="0" borderId="0" xfId="17" applyNumberFormat="1" applyFont="1" applyFill="1" applyBorder="1" applyAlignment="1">
      <alignment/>
    </xf>
    <xf numFmtId="164" fontId="14" fillId="0" borderId="0" xfId="15" applyNumberFormat="1" applyFont="1" applyFill="1" applyBorder="1" applyAlignment="1">
      <alignment/>
    </xf>
    <xf numFmtId="0" fontId="14" fillId="0" borderId="0" xfId="0" applyFont="1" applyFill="1" applyBorder="1" applyAlignment="1">
      <alignment/>
    </xf>
    <xf numFmtId="43" fontId="14" fillId="0" borderId="0" xfId="0" applyNumberFormat="1" applyFont="1" applyFill="1" applyBorder="1" applyAlignment="1">
      <alignment/>
    </xf>
    <xf numFmtId="164" fontId="14" fillId="0" borderId="5" xfId="15" applyNumberFormat="1" applyFont="1" applyFill="1" applyBorder="1" applyAlignment="1">
      <alignment/>
    </xf>
    <xf numFmtId="164" fontId="14" fillId="0" borderId="5" xfId="15" applyNumberFormat="1" applyFont="1" applyFill="1" applyBorder="1" applyAlignment="1">
      <alignment/>
    </xf>
    <xf numFmtId="164" fontId="10" fillId="0" borderId="6" xfId="15" applyNumberFormat="1" applyFont="1" applyFill="1" applyBorder="1" applyAlignment="1">
      <alignment/>
    </xf>
    <xf numFmtId="164" fontId="14" fillId="0" borderId="0" xfId="15" applyNumberFormat="1" applyFont="1" applyFill="1" applyBorder="1" applyAlignment="1">
      <alignment/>
    </xf>
    <xf numFmtId="164" fontId="16" fillId="0" borderId="0" xfId="15" applyNumberFormat="1" applyFont="1" applyFill="1" applyBorder="1" applyAlignment="1">
      <alignment wrapText="1"/>
    </xf>
    <xf numFmtId="43" fontId="14" fillId="0" borderId="0" xfId="0" applyNumberFormat="1" applyFont="1" applyFill="1" applyBorder="1" applyAlignment="1">
      <alignment horizontal="left"/>
    </xf>
    <xf numFmtId="164" fontId="14" fillId="0" borderId="0" xfId="0" applyNumberFormat="1" applyFont="1" applyFill="1" applyBorder="1" applyAlignment="1">
      <alignment/>
    </xf>
    <xf numFmtId="43" fontId="10" fillId="0" borderId="0" xfId="0" applyNumberFormat="1" applyFont="1" applyFill="1" applyBorder="1" applyAlignment="1">
      <alignment/>
    </xf>
    <xf numFmtId="164" fontId="10" fillId="0" borderId="5" xfId="15" applyNumberFormat="1" applyFont="1" applyFill="1" applyBorder="1" applyAlignment="1">
      <alignment/>
    </xf>
    <xf numFmtId="164" fontId="10" fillId="0" borderId="0" xfId="15" applyNumberFormat="1" applyFont="1" applyFill="1" applyBorder="1" applyAlignment="1">
      <alignment/>
    </xf>
    <xf numFmtId="43" fontId="16" fillId="0" borderId="0" xfId="0" applyNumberFormat="1" applyFont="1" applyFill="1" applyBorder="1" applyAlignment="1">
      <alignment/>
    </xf>
    <xf numFmtId="164" fontId="16" fillId="0" borderId="0" xfId="15" applyNumberFormat="1" applyFont="1" applyFill="1" applyBorder="1" applyAlignment="1">
      <alignment/>
    </xf>
    <xf numFmtId="43" fontId="14" fillId="0" borderId="0" xfId="0" applyNumberFormat="1" applyFont="1" applyFill="1" applyBorder="1" applyAlignment="1">
      <alignment horizontal="left" wrapText="1"/>
    </xf>
    <xf numFmtId="5" fontId="10" fillId="0" borderId="6" xfId="15" applyNumberFormat="1" applyFont="1" applyFill="1" applyBorder="1" applyAlignment="1">
      <alignment/>
    </xf>
    <xf numFmtId="164" fontId="14" fillId="0" borderId="0" xfId="0" applyNumberFormat="1" applyFont="1" applyFill="1" applyBorder="1" applyAlignment="1">
      <alignment horizontal="left" wrapText="1"/>
    </xf>
    <xf numFmtId="7" fontId="7" fillId="0" borderId="0" xfId="0" applyNumberFormat="1" applyFont="1" applyFill="1" applyAlignment="1">
      <alignment horizontal="centerContinuous"/>
    </xf>
    <xf numFmtId="7" fontId="7" fillId="0" borderId="0" xfId="15" applyNumberFormat="1" applyFont="1" applyFill="1" applyAlignment="1">
      <alignment horizontal="centerContinuous"/>
    </xf>
    <xf numFmtId="7" fontId="6" fillId="0" borderId="0" xfId="15" applyNumberFormat="1" applyFont="1" applyAlignment="1">
      <alignment horizontal="centerContinuous"/>
    </xf>
    <xf numFmtId="164" fontId="14" fillId="3" borderId="0" xfId="15" applyNumberFormat="1" applyFont="1" applyFill="1" applyAlignment="1">
      <alignment horizontal="right"/>
    </xf>
    <xf numFmtId="172" fontId="6" fillId="0" borderId="0" xfId="15" applyNumberFormat="1" applyFont="1" applyAlignment="1">
      <alignment horizontal="centerContinuous"/>
    </xf>
    <xf numFmtId="172" fontId="15" fillId="5" borderId="0" xfId="15" applyNumberFormat="1" applyFont="1" applyFill="1" applyBorder="1" applyAlignment="1" applyProtection="1">
      <alignment horizontal="center" wrapText="1"/>
      <protection locked="0"/>
    </xf>
    <xf numFmtId="172" fontId="14" fillId="0" borderId="0" xfId="15" applyNumberFormat="1" applyFont="1" applyAlignment="1">
      <alignment/>
    </xf>
    <xf numFmtId="172" fontId="14" fillId="0" borderId="0" xfId="15" applyNumberFormat="1" applyFont="1" applyFill="1" applyAlignment="1">
      <alignment/>
    </xf>
    <xf numFmtId="164" fontId="14" fillId="0" borderId="0" xfId="15" applyNumberFormat="1" applyFont="1" applyAlignment="1">
      <alignment/>
    </xf>
    <xf numFmtId="164" fontId="14" fillId="0" borderId="5" xfId="15" applyNumberFormat="1" applyFont="1" applyBorder="1" applyAlignment="1">
      <alignment/>
    </xf>
    <xf numFmtId="164" fontId="10" fillId="0" borderId="6" xfId="15" applyNumberFormat="1" applyFont="1" applyBorder="1" applyAlignment="1">
      <alignment/>
    </xf>
    <xf numFmtId="164" fontId="14" fillId="0" borderId="0" xfId="15" applyNumberFormat="1" applyFont="1" applyFill="1" applyAlignment="1">
      <alignment/>
    </xf>
    <xf numFmtId="164" fontId="14" fillId="0" borderId="0" xfId="15" applyNumberFormat="1" applyFont="1" applyBorder="1" applyAlignment="1">
      <alignment/>
    </xf>
    <xf numFmtId="172" fontId="14" fillId="0" borderId="0" xfId="15" applyNumberFormat="1" applyFont="1" applyAlignment="1">
      <alignment/>
    </xf>
    <xf numFmtId="164" fontId="31" fillId="0" borderId="0" xfId="15" applyNumberFormat="1" applyFont="1" applyFill="1" applyAlignment="1">
      <alignment/>
    </xf>
    <xf numFmtId="43" fontId="31" fillId="0" borderId="0" xfId="0" applyNumberFormat="1" applyFont="1" applyBorder="1" applyAlignment="1">
      <alignment/>
    </xf>
    <xf numFmtId="5" fontId="10" fillId="0" borderId="6" xfId="15" applyNumberFormat="1" applyFont="1" applyBorder="1" applyAlignment="1">
      <alignment/>
    </xf>
    <xf numFmtId="172" fontId="10" fillId="0" borderId="0" xfId="15" applyNumberFormat="1" applyFont="1" applyBorder="1" applyAlignment="1">
      <alignment/>
    </xf>
    <xf numFmtId="164" fontId="7" fillId="0" borderId="0" xfId="15" applyNumberFormat="1" applyFont="1" applyFill="1" applyAlignment="1">
      <alignment horizontal="centerContinuous"/>
    </xf>
    <xf numFmtId="164" fontId="7" fillId="0" borderId="0" xfId="15" applyNumberFormat="1" applyFont="1" applyBorder="1" applyAlignment="1">
      <alignment horizontal="centerContinuous"/>
    </xf>
    <xf numFmtId="164" fontId="6" fillId="0" borderId="0" xfId="15" applyNumberFormat="1" applyFont="1" applyBorder="1" applyAlignment="1">
      <alignment horizontal="centerContinuous"/>
    </xf>
    <xf numFmtId="164" fontId="15" fillId="2" borderId="0" xfId="15" applyNumberFormat="1" applyFont="1" applyFill="1" applyBorder="1" applyAlignment="1">
      <alignment horizontal="centerContinuous" wrapText="1"/>
    </xf>
    <xf numFmtId="164" fontId="15" fillId="2" borderId="0" xfId="15" applyNumberFormat="1" applyFont="1" applyFill="1" applyBorder="1" applyAlignment="1">
      <alignment horizontal="center" wrapText="1"/>
    </xf>
    <xf numFmtId="0" fontId="10" fillId="0" borderId="0" xfId="0" applyFont="1" applyBorder="1" applyAlignment="1">
      <alignment horizontal="center" wrapText="1"/>
    </xf>
    <xf numFmtId="164" fontId="14" fillId="0" borderId="0" xfId="15" applyNumberFormat="1" applyFont="1" applyBorder="1" applyAlignment="1">
      <alignment horizontal="left" wrapText="1"/>
    </xf>
    <xf numFmtId="5" fontId="14" fillId="0" borderId="0" xfId="17" applyNumberFormat="1" applyFont="1" applyBorder="1" applyAlignment="1">
      <alignment horizontal="right"/>
    </xf>
    <xf numFmtId="38" fontId="10" fillId="0" borderId="0" xfId="0" applyNumberFormat="1" applyFont="1" applyBorder="1" applyAlignment="1">
      <alignment/>
    </xf>
    <xf numFmtId="38" fontId="10" fillId="0" borderId="0" xfId="0" applyNumberFormat="1" applyFont="1" applyBorder="1" applyAlignment="1">
      <alignment horizontal="center" wrapText="1"/>
    </xf>
    <xf numFmtId="41" fontId="14" fillId="0" borderId="0" xfId="15" applyNumberFormat="1" applyFont="1" applyFill="1" applyAlignment="1">
      <alignment horizontal="right"/>
    </xf>
    <xf numFmtId="164" fontId="30" fillId="0" borderId="0" xfId="15" applyNumberFormat="1" applyFont="1" applyBorder="1" applyAlignment="1">
      <alignment horizontal="right"/>
    </xf>
    <xf numFmtId="38" fontId="31" fillId="0" borderId="0" xfId="0" applyNumberFormat="1" applyFont="1" applyBorder="1" applyAlignment="1">
      <alignment horizontal="right"/>
    </xf>
    <xf numFmtId="164" fontId="14" fillId="0" borderId="0" xfId="0" applyNumberFormat="1" applyFont="1" applyBorder="1" applyAlignment="1">
      <alignment horizontal="right"/>
    </xf>
    <xf numFmtId="43" fontId="10" fillId="0" borderId="6" xfId="15" applyNumberFormat="1" applyFont="1" applyFill="1" applyBorder="1" applyAlignment="1">
      <alignment horizontal="right"/>
    </xf>
    <xf numFmtId="164" fontId="21" fillId="2" borderId="0" xfId="15" applyNumberFormat="1" applyFont="1" applyFill="1" applyAlignment="1">
      <alignment horizontal="centerContinuous" wrapText="1"/>
    </xf>
    <xf numFmtId="164" fontId="21" fillId="2" borderId="0" xfId="15" applyNumberFormat="1" applyFont="1" applyFill="1" applyBorder="1" applyAlignment="1">
      <alignment horizontal="centerContinuous" wrapText="1"/>
    </xf>
    <xf numFmtId="172" fontId="7" fillId="0" borderId="0" xfId="15" applyNumberFormat="1" applyFont="1" applyAlignment="1">
      <alignment horizontal="left"/>
    </xf>
    <xf numFmtId="43" fontId="10" fillId="0" borderId="0" xfId="0" applyNumberFormat="1" applyFont="1" applyBorder="1" applyAlignment="1">
      <alignment horizontal="left"/>
    </xf>
    <xf numFmtId="172" fontId="38" fillId="0" borderId="0" xfId="15" applyNumberFormat="1" applyFont="1" applyAlignment="1">
      <alignment horizontal="left"/>
    </xf>
    <xf numFmtId="172" fontId="10" fillId="0" borderId="0" xfId="15" applyNumberFormat="1" applyFont="1" applyAlignment="1">
      <alignment horizontal="left"/>
    </xf>
    <xf numFmtId="172" fontId="14" fillId="0" borderId="0" xfId="15" applyNumberFormat="1" applyFont="1" applyAlignment="1">
      <alignment horizontal="left"/>
    </xf>
    <xf numFmtId="172" fontId="10" fillId="0" borderId="0" xfId="15" applyNumberFormat="1" applyFont="1" applyAlignment="1">
      <alignment horizontal="center"/>
    </xf>
    <xf numFmtId="164" fontId="14" fillId="0" borderId="14" xfId="15" applyNumberFormat="1" applyFont="1" applyBorder="1" applyAlignment="1">
      <alignment/>
    </xf>
    <xf numFmtId="6" fontId="10" fillId="0" borderId="27" xfId="15" applyNumberFormat="1" applyFont="1" applyBorder="1" applyAlignment="1">
      <alignment/>
    </xf>
    <xf numFmtId="6" fontId="10" fillId="0" borderId="15" xfId="15" applyNumberFormat="1" applyFont="1" applyBorder="1" applyAlignment="1">
      <alignment/>
    </xf>
    <xf numFmtId="5" fontId="10" fillId="0" borderId="15" xfId="15" applyNumberFormat="1" applyFont="1" applyBorder="1" applyAlignment="1">
      <alignment/>
    </xf>
    <xf numFmtId="164" fontId="10" fillId="0" borderId="31" xfId="15" applyNumberFormat="1" applyFont="1" applyBorder="1" applyAlignment="1">
      <alignment/>
    </xf>
    <xf numFmtId="6" fontId="10" fillId="0" borderId="15" xfId="15" applyNumberFormat="1" applyFont="1" applyBorder="1" applyAlignment="1">
      <alignment horizontal="right"/>
    </xf>
    <xf numFmtId="0" fontId="38" fillId="0" borderId="0" xfId="0" applyFont="1" applyAlignment="1">
      <alignment horizontal="center"/>
    </xf>
    <xf numFmtId="0" fontId="32" fillId="0" borderId="0" xfId="0" applyFont="1" applyBorder="1" applyAlignment="1">
      <alignment horizontal="right"/>
    </xf>
    <xf numFmtId="0" fontId="32" fillId="0" borderId="0" xfId="0" applyFont="1" applyAlignment="1">
      <alignment horizontal="center"/>
    </xf>
    <xf numFmtId="38" fontId="38" fillId="0" borderId="0" xfId="0" applyNumberFormat="1" applyFont="1" applyAlignment="1">
      <alignment horizontal="center"/>
    </xf>
    <xf numFmtId="0" fontId="66" fillId="0" borderId="0" xfId="0" applyFont="1" applyAlignment="1">
      <alignment horizontal="right"/>
    </xf>
    <xf numFmtId="0" fontId="65" fillId="0" borderId="0" xfId="0" applyFont="1" applyAlignment="1">
      <alignment horizontal="right"/>
    </xf>
    <xf numFmtId="43" fontId="7" fillId="0" borderId="0" xfId="0" applyNumberFormat="1" applyFont="1" applyBorder="1" applyAlignment="1">
      <alignment horizontal="center"/>
    </xf>
    <xf numFmtId="43" fontId="7" fillId="0" borderId="27" xfId="0" applyNumberFormat="1" applyFont="1" applyBorder="1" applyAlignment="1">
      <alignment horizontal="center"/>
    </xf>
    <xf numFmtId="43" fontId="46" fillId="0" borderId="21" xfId="0" applyNumberFormat="1" applyFont="1" applyBorder="1" applyAlignment="1">
      <alignment horizontal="center"/>
    </xf>
    <xf numFmtId="43" fontId="46" fillId="0" borderId="30" xfId="0" applyNumberFormat="1" applyFont="1" applyBorder="1" applyAlignment="1">
      <alignment horizontal="center"/>
    </xf>
    <xf numFmtId="43" fontId="46" fillId="0" borderId="14" xfId="0" applyNumberFormat="1" applyFont="1" applyBorder="1" applyAlignment="1">
      <alignment horizontal="center"/>
    </xf>
    <xf numFmtId="40" fontId="4" fillId="0" borderId="0" xfId="0" applyNumberFormat="1" applyFont="1" applyFill="1" applyBorder="1" applyAlignment="1">
      <alignment horizontal="center"/>
    </xf>
    <xf numFmtId="43" fontId="7" fillId="0" borderId="20" xfId="0" applyNumberFormat="1" applyFont="1" applyBorder="1" applyAlignment="1">
      <alignment horizontal="center"/>
    </xf>
    <xf numFmtId="0" fontId="18" fillId="0" borderId="0" xfId="0" applyFont="1" applyBorder="1" applyAlignment="1">
      <alignment horizontal="center"/>
    </xf>
    <xf numFmtId="0" fontId="4" fillId="0" borderId="0" xfId="0" applyFont="1" applyFill="1" applyBorder="1" applyAlignment="1">
      <alignment horizontal="center"/>
    </xf>
    <xf numFmtId="0" fontId="7" fillId="0" borderId="0" xfId="0" applyFont="1" applyBorder="1" applyAlignment="1">
      <alignment horizontal="center"/>
    </xf>
    <xf numFmtId="15" fontId="7" fillId="0" borderId="0" xfId="0" applyNumberFormat="1" applyFont="1" applyBorder="1" applyAlignment="1">
      <alignment horizontal="center"/>
    </xf>
    <xf numFmtId="5" fontId="15" fillId="2" borderId="0" xfId="15" applyNumberFormat="1" applyFont="1" applyFill="1" applyBorder="1" applyAlignment="1">
      <alignment horizontal="center" wrapText="1"/>
    </xf>
    <xf numFmtId="5" fontId="15" fillId="2" borderId="27" xfId="15" applyNumberFormat="1" applyFont="1" applyFill="1" applyBorder="1" applyAlignment="1">
      <alignment horizontal="center" wrapText="1"/>
    </xf>
    <xf numFmtId="7" fontId="11" fillId="0" borderId="21" xfId="0" applyNumberFormat="1" applyFont="1" applyFill="1" applyBorder="1" applyAlignment="1">
      <alignment horizontal="center"/>
    </xf>
    <xf numFmtId="7" fontId="11" fillId="0" borderId="30" xfId="0" applyNumberFormat="1" applyFont="1" applyFill="1" applyBorder="1" applyAlignment="1">
      <alignment horizontal="center"/>
    </xf>
    <xf numFmtId="7" fontId="11" fillId="0" borderId="14" xfId="0" applyNumberFormat="1" applyFont="1" applyFill="1" applyBorder="1" applyAlignment="1">
      <alignment horizontal="center"/>
    </xf>
    <xf numFmtId="7" fontId="13" fillId="0" borderId="20" xfId="0" applyNumberFormat="1" applyFont="1" applyFill="1" applyBorder="1" applyAlignment="1">
      <alignment horizontal="center"/>
    </xf>
    <xf numFmtId="7" fontId="13" fillId="0" borderId="0" xfId="0" applyNumberFormat="1" applyFont="1" applyFill="1" applyBorder="1" applyAlignment="1">
      <alignment horizontal="center"/>
    </xf>
    <xf numFmtId="7" fontId="13" fillId="0" borderId="27" xfId="0" applyNumberFormat="1" applyFont="1" applyFill="1" applyBorder="1" applyAlignment="1">
      <alignment horizontal="center"/>
    </xf>
    <xf numFmtId="7" fontId="13" fillId="0" borderId="20" xfId="0" applyNumberFormat="1" applyFont="1" applyFill="1" applyBorder="1" applyAlignment="1" quotePrefix="1">
      <alignment horizontal="center"/>
    </xf>
    <xf numFmtId="7" fontId="13" fillId="0" borderId="0" xfId="0" applyNumberFormat="1" applyFont="1" applyFill="1" applyBorder="1" applyAlignment="1" quotePrefix="1">
      <alignment horizontal="center"/>
    </xf>
    <xf numFmtId="7" fontId="13" fillId="0" borderId="27" xfId="0" applyNumberFormat="1" applyFont="1" applyFill="1" applyBorder="1" applyAlignment="1" quotePrefix="1">
      <alignment horizontal="center"/>
    </xf>
    <xf numFmtId="7" fontId="4" fillId="0" borderId="20" xfId="0" applyNumberFormat="1" applyFont="1" applyFill="1" applyBorder="1" applyAlignment="1">
      <alignment horizontal="center"/>
    </xf>
    <xf numFmtId="7" fontId="4" fillId="0" borderId="0" xfId="0" applyNumberFormat="1" applyFont="1" applyFill="1" applyBorder="1" applyAlignment="1">
      <alignment horizontal="center"/>
    </xf>
    <xf numFmtId="164" fontId="8" fillId="0" borderId="2" xfId="15" applyNumberFormat="1" applyFont="1" applyBorder="1" applyAlignment="1">
      <alignment horizontal="center"/>
    </xf>
    <xf numFmtId="41" fontId="12" fillId="0" borderId="0" xfId="0" applyNumberFormat="1" applyFont="1" applyBorder="1" applyAlignment="1">
      <alignment horizontal="center"/>
    </xf>
    <xf numFmtId="164" fontId="8" fillId="0" borderId="0" xfId="15" applyNumberFormat="1" applyFont="1" applyBorder="1" applyAlignment="1">
      <alignment horizontal="center"/>
    </xf>
    <xf numFmtId="0" fontId="1" fillId="0" borderId="0" xfId="0" applyFont="1" applyAlignment="1">
      <alignment horizontal="center"/>
    </xf>
    <xf numFmtId="7" fontId="46" fillId="0" borderId="0" xfId="0" applyNumberFormat="1" applyFont="1" applyFill="1" applyBorder="1" applyAlignment="1">
      <alignment horizontal="center"/>
    </xf>
    <xf numFmtId="7" fontId="7" fillId="0" borderId="0" xfId="0" applyNumberFormat="1" applyFont="1" applyFill="1" applyBorder="1" applyAlignment="1">
      <alignment horizontal="center"/>
    </xf>
    <xf numFmtId="7" fontId="7" fillId="0" borderId="0" xfId="0" applyNumberFormat="1" applyFont="1" applyFill="1" applyBorder="1" applyAlignment="1" quotePrefix="1">
      <alignment horizontal="center"/>
    </xf>
    <xf numFmtId="7" fontId="7" fillId="0" borderId="0" xfId="0" applyNumberFormat="1" applyFont="1" applyBorder="1" applyAlignment="1">
      <alignment horizontal="center"/>
    </xf>
    <xf numFmtId="43" fontId="46" fillId="0" borderId="0" xfId="0" applyNumberFormat="1" applyFont="1" applyFill="1" applyBorder="1" applyAlignment="1">
      <alignment horizontal="center"/>
    </xf>
    <xf numFmtId="43" fontId="4" fillId="0" borderId="0" xfId="0" applyNumberFormat="1" applyFont="1" applyFill="1" applyAlignment="1">
      <alignment horizontal="center"/>
    </xf>
    <xf numFmtId="43" fontId="7" fillId="0" borderId="0" xfId="0" applyNumberFormat="1" applyFont="1" applyFill="1" applyBorder="1" applyAlignment="1">
      <alignment horizontal="center"/>
    </xf>
    <xf numFmtId="40" fontId="46" fillId="0" borderId="0" xfId="0" applyNumberFormat="1" applyFont="1" applyFill="1" applyBorder="1" applyAlignment="1">
      <alignment horizontal="center"/>
    </xf>
    <xf numFmtId="40" fontId="4" fillId="0" borderId="0" xfId="0" applyNumberFormat="1" applyFont="1" applyFill="1" applyAlignment="1">
      <alignment horizontal="center"/>
    </xf>
    <xf numFmtId="43" fontId="4" fillId="0" borderId="20" xfId="0" applyNumberFormat="1" applyFont="1" applyFill="1" applyBorder="1" applyAlignment="1">
      <alignment horizontal="center"/>
    </xf>
    <xf numFmtId="43" fontId="4" fillId="0" borderId="0" xfId="0" applyNumberFormat="1" applyFont="1" applyFill="1" applyBorder="1" applyAlignment="1">
      <alignment horizontal="center"/>
    </xf>
    <xf numFmtId="43" fontId="4" fillId="0" borderId="27" xfId="0" applyNumberFormat="1" applyFont="1" applyFill="1" applyBorder="1" applyAlignment="1">
      <alignment horizontal="center"/>
    </xf>
    <xf numFmtId="0" fontId="18" fillId="0" borderId="21" xfId="0" applyFont="1" applyBorder="1" applyAlignment="1">
      <alignment horizontal="center"/>
    </xf>
    <xf numFmtId="0" fontId="18" fillId="0" borderId="30" xfId="0" applyFont="1" applyBorder="1" applyAlignment="1">
      <alignment horizontal="center"/>
    </xf>
    <xf numFmtId="0" fontId="18" fillId="0" borderId="14" xfId="0" applyFont="1" applyBorder="1" applyAlignment="1">
      <alignment horizontal="center"/>
    </xf>
    <xf numFmtId="43" fontId="14" fillId="0" borderId="0" xfId="0" applyNumberFormat="1" applyFont="1" applyBorder="1" applyAlignment="1">
      <alignment horizontal="left" wrapText="1"/>
    </xf>
    <xf numFmtId="0" fontId="14" fillId="0" borderId="0" xfId="0" applyFont="1" applyBorder="1" applyAlignment="1">
      <alignment horizontal="left" wrapText="1"/>
    </xf>
    <xf numFmtId="0" fontId="31" fillId="0" borderId="0" xfId="0" applyFont="1" applyBorder="1" applyAlignment="1">
      <alignment horizontal="left" wrapText="1"/>
    </xf>
    <xf numFmtId="7" fontId="4" fillId="0" borderId="20" xfId="0" applyNumberFormat="1" applyFont="1" applyBorder="1" applyAlignment="1">
      <alignment horizontal="center"/>
    </xf>
    <xf numFmtId="7" fontId="4" fillId="0" borderId="0" xfId="0" applyNumberFormat="1" applyFont="1" applyBorder="1" applyAlignment="1">
      <alignment horizontal="center"/>
    </xf>
    <xf numFmtId="7" fontId="4" fillId="0" borderId="27" xfId="0" applyNumberFormat="1" applyFont="1" applyBorder="1" applyAlignment="1">
      <alignment horizontal="center"/>
    </xf>
    <xf numFmtId="7" fontId="17" fillId="0" borderId="21" xfId="0" applyNumberFormat="1" applyFont="1" applyBorder="1" applyAlignment="1">
      <alignment horizontal="center"/>
    </xf>
    <xf numFmtId="7" fontId="17" fillId="0" borderId="30" xfId="0" applyNumberFormat="1" applyFont="1" applyBorder="1" applyAlignment="1">
      <alignment horizontal="center"/>
    </xf>
    <xf numFmtId="7" fontId="17" fillId="0" borderId="14" xfId="0" applyNumberFormat="1" applyFont="1" applyBorder="1" applyAlignment="1">
      <alignment horizontal="center"/>
    </xf>
    <xf numFmtId="7" fontId="4" fillId="0" borderId="27" xfId="0" applyNumberFormat="1" applyFont="1" applyFill="1" applyBorder="1" applyAlignment="1">
      <alignment horizontal="center"/>
    </xf>
    <xf numFmtId="0" fontId="62" fillId="0" borderId="0" xfId="0" applyFont="1" applyAlignment="1">
      <alignment horizontal="left" vertical="center" wrapText="1"/>
    </xf>
    <xf numFmtId="0" fontId="63" fillId="0" borderId="0" xfId="0" applyFont="1" applyAlignment="1">
      <alignment horizontal="center" vertical="center" wrapText="1"/>
    </xf>
    <xf numFmtId="0" fontId="38" fillId="0" borderId="0" xfId="0" applyFont="1" applyAlignment="1">
      <alignment horizontal="left" vertical="center" wrapText="1"/>
    </xf>
    <xf numFmtId="0" fontId="32" fillId="0" borderId="0" xfId="0" applyFont="1" applyAlignment="1">
      <alignment horizontal="center" vertical="center" wrapText="1"/>
    </xf>
    <xf numFmtId="172" fontId="46" fillId="0" borderId="0" xfId="15" applyNumberFormat="1" applyFont="1" applyAlignment="1">
      <alignment horizontal="center"/>
    </xf>
    <xf numFmtId="172" fontId="7" fillId="0" borderId="0" xfId="15" applyNumberFormat="1" applyFont="1" applyAlignment="1">
      <alignment horizontal="center"/>
    </xf>
    <xf numFmtId="7" fontId="4" fillId="0" borderId="0" xfId="0" applyNumberFormat="1" applyFont="1" applyFill="1" applyAlignment="1">
      <alignment horizontal="right"/>
    </xf>
    <xf numFmtId="7" fontId="49" fillId="4" borderId="0" xfId="0" applyNumberFormat="1" applyFont="1" applyFill="1" applyBorder="1" applyAlignment="1" applyProtection="1">
      <alignment horizontal="right"/>
      <protection locked="0"/>
    </xf>
    <xf numFmtId="7" fontId="4" fillId="4" borderId="0" xfId="0" applyNumberFormat="1" applyFont="1" applyFill="1" applyBorder="1" applyAlignment="1" applyProtection="1">
      <alignment horizontal="center"/>
      <protection locked="0"/>
    </xf>
    <xf numFmtId="38" fontId="39" fillId="0" borderId="0" xfId="0" applyNumberFormat="1" applyFont="1" applyBorder="1" applyAlignment="1">
      <alignment horizontal="center"/>
    </xf>
    <xf numFmtId="168" fontId="39" fillId="0" borderId="0" xfId="0" applyNumberFormat="1" applyFont="1" applyBorder="1" applyAlignment="1">
      <alignment horizontal="center"/>
    </xf>
    <xf numFmtId="37" fontId="7" fillId="0" borderId="0" xfId="0" applyNumberFormat="1" applyFont="1" applyBorder="1" applyAlignment="1">
      <alignment horizontal="center"/>
    </xf>
    <xf numFmtId="41" fontId="7" fillId="0" borderId="0" xfId="0" applyNumberFormat="1" applyFont="1" applyBorder="1" applyAlignment="1">
      <alignment horizontal="center"/>
    </xf>
    <xf numFmtId="41" fontId="7" fillId="0" borderId="17" xfId="0" applyNumberFormat="1" applyFont="1" applyBorder="1" applyAlignment="1">
      <alignment horizontal="center"/>
    </xf>
    <xf numFmtId="41" fontId="7" fillId="0" borderId="7" xfId="0" applyNumberFormat="1" applyFont="1" applyBorder="1" applyAlignment="1">
      <alignment horizontal="center"/>
    </xf>
    <xf numFmtId="41" fontId="7" fillId="0" borderId="12" xfId="0" applyNumberFormat="1" applyFont="1" applyBorder="1" applyAlignment="1">
      <alignment horizontal="center"/>
    </xf>
    <xf numFmtId="41" fontId="7" fillId="0" borderId="1" xfId="0" applyNumberFormat="1" applyFont="1" applyBorder="1" applyAlignment="1">
      <alignment horizontal="center"/>
    </xf>
    <xf numFmtId="41" fontId="7" fillId="0" borderId="9" xfId="0" applyNumberFormat="1" applyFont="1" applyBorder="1" applyAlignment="1">
      <alignment horizontal="center"/>
    </xf>
    <xf numFmtId="41" fontId="4" fillId="0" borderId="0" xfId="0" applyNumberFormat="1" applyFont="1" applyFill="1" applyAlignment="1">
      <alignment horizontal="center"/>
    </xf>
    <xf numFmtId="44" fontId="18" fillId="0" borderId="0" xfId="17"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10" fillId="0" borderId="2"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externalLink" Target="externalLinks/externalLink6.xml" /><Relationship Id="rId28" Type="http://schemas.openxmlformats.org/officeDocument/2006/relationships/externalLink" Target="externalLinks/externalLink7.xml" /><Relationship Id="rId29" Type="http://schemas.openxmlformats.org/officeDocument/2006/relationships/externalLink" Target="externalLinks/externalLink8.xml" /><Relationship Id="rId30" Type="http://schemas.openxmlformats.org/officeDocument/2006/relationships/externalLink" Target="externalLinks/externalLink9.xml" /><Relationship Id="rId31" Type="http://schemas.openxmlformats.org/officeDocument/2006/relationships/externalLink" Target="externalLinks/externalLink10.xml" /><Relationship Id="rId32" Type="http://schemas.openxmlformats.org/officeDocument/2006/relationships/externalLink" Target="externalLinks/externalLink11.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1066800</xdr:colOff>
      <xdr:row>4</xdr:row>
      <xdr:rowOff>66675</xdr:rowOff>
    </xdr:from>
    <xdr:to>
      <xdr:col>1</xdr:col>
      <xdr:colOff>2305050</xdr:colOff>
      <xdr:row>5</xdr:row>
      <xdr:rowOff>542925</xdr:rowOff>
    </xdr:to>
    <xdr:sp>
      <xdr:nvSpPr>
        <xdr:cNvPr id="1" name="AutoShape 1"/>
        <xdr:cNvSpPr>
          <a:spLocks/>
        </xdr:cNvSpPr>
      </xdr:nvSpPr>
      <xdr:spPr>
        <a:xfrm>
          <a:off x="1362075" y="1009650"/>
          <a:ext cx="1238250" cy="666750"/>
        </a:xfrm>
        <a:prstGeom prst="rect"/>
        <a:noFill/>
      </xdr:spPr>
      <xdr:txBody>
        <a:bodyPr fromWordArt="1" wrap="none">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Draft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1019175</xdr:colOff>
      <xdr:row>1</xdr:row>
      <xdr:rowOff>209550</xdr:rowOff>
    </xdr:from>
    <xdr:to>
      <xdr:col>0</xdr:col>
      <xdr:colOff>2257425</xdr:colOff>
      <xdr:row>4</xdr:row>
      <xdr:rowOff>142875</xdr:rowOff>
    </xdr:to>
    <xdr:sp>
      <xdr:nvSpPr>
        <xdr:cNvPr id="1" name="AutoShape 1"/>
        <xdr:cNvSpPr>
          <a:spLocks/>
        </xdr:cNvSpPr>
      </xdr:nvSpPr>
      <xdr:spPr>
        <a:xfrm>
          <a:off x="1019175" y="552450"/>
          <a:ext cx="1238250" cy="657225"/>
        </a:xfrm>
        <a:prstGeom prst="rect"/>
        <a:noFill/>
      </xdr:spPr>
      <xdr:txBody>
        <a:bodyPr fromWordArt="1" wrap="none">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Pre-View</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33</xdr:row>
      <xdr:rowOff>9525</xdr:rowOff>
    </xdr:from>
    <xdr:to>
      <xdr:col>4</xdr:col>
      <xdr:colOff>0</xdr:colOff>
      <xdr:row>38</xdr:row>
      <xdr:rowOff>219075</xdr:rowOff>
    </xdr:to>
    <xdr:sp>
      <xdr:nvSpPr>
        <xdr:cNvPr id="1" name="AutoShape 1"/>
        <xdr:cNvSpPr>
          <a:spLocks/>
        </xdr:cNvSpPr>
      </xdr:nvSpPr>
      <xdr:spPr>
        <a:xfrm>
          <a:off x="3724275" y="8181975"/>
          <a:ext cx="1476375" cy="1447800"/>
        </a:xfrm>
        <a:prstGeom prst="rect"/>
        <a:noFill/>
      </xdr:spPr>
      <xdr:txBody>
        <a:bodyPr fromWordArt="1" wrap="none">
          <a:prstTxWarp prst="textSlantUp"/>
        </a:bodyPr>
        <a:p>
          <a:pPr algn="ctr"/>
          <a:r>
            <a:rPr sz="3600" kern="10" spc="0">
              <a:ln w="9525" cmpd="sng">
                <a:solidFill>
                  <a:srgbClr val="000000"/>
                </a:solidFill>
                <a:headEnd type="none"/>
                <a:tailEnd type="none"/>
              </a:ln>
              <a:solidFill>
                <a:srgbClr val="000000"/>
              </a:solidFill>
              <a:latin typeface="Algerian"/>
              <a:cs typeface="Algerian"/>
            </a:rPr>
            <a:t>DRAFT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4\1Q04%20FLUX%20ANALYSI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greatplains6\home\FinancialDept\FINSTATE\2002\FLUX%20ANALYSISI.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SATARA\EXCEL\Miscellaneous\1Q05%20FINANCIAL%20STATEMENTS\1Q05%20FLUX%20ANALYSI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ATARA\EXCEL\Miscellaneous\4Q04%20FINANCIAL%20STATEMENTS\FLUX%20ANALYSI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greatplains6\home\FinancialDept\FINSTATE\2000\1Q00%20financial%20statemen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greatplains6\home\FinancialDept\Financial%20Statements\4Q2000f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greatplains6\home\FinancialDept\FINSTATE\2001\4q2001\CODIFIED.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greatplains6\home\HICKSP\EXCEL\2002\3q02\03Q02F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2\3Q02\FINANCIAL%20STATEMENTS%20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3Q03\FINANCIAL%20STATEMENT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2Q03\FINANCIAL%20STATE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3-31-04 (Pre)"/>
      <sheetName val="TB03-31-04(Final)"/>
      <sheetName val="(1)IBNR Cal13"/>
      <sheetName val="(3)Cal. UPLR14"/>
      <sheetName val="ALAE &amp; ULAE JE4-5"/>
      <sheetName val="Factor15"/>
      <sheetName val="(1)LEP-QTD16JE5"/>
      <sheetName val="UPR-JE1"/>
    </sheetNames>
    <sheetDataSet>
      <sheetData sheetId="0">
        <row r="198">
          <cell r="F198">
            <v>-6748.45</v>
          </cell>
        </row>
        <row r="199">
          <cell r="F199">
            <v>-47682</v>
          </cell>
        </row>
        <row r="362">
          <cell r="F362">
            <v>59250</v>
          </cell>
        </row>
        <row r="363">
          <cell r="F363">
            <v>1500</v>
          </cell>
        </row>
        <row r="364">
          <cell r="F364">
            <v>1371608.06</v>
          </cell>
        </row>
        <row r="365">
          <cell r="F365">
            <v>1626410.46</v>
          </cell>
        </row>
        <row r="370">
          <cell r="F370">
            <v>0</v>
          </cell>
        </row>
        <row r="371">
          <cell r="F371">
            <v>0</v>
          </cell>
        </row>
        <row r="372">
          <cell r="F372">
            <v>69982.57</v>
          </cell>
        </row>
        <row r="373">
          <cell r="F373">
            <v>628151.78</v>
          </cell>
        </row>
        <row r="379">
          <cell r="F379">
            <v>0</v>
          </cell>
        </row>
        <row r="380">
          <cell r="F380">
            <v>1229</v>
          </cell>
        </row>
        <row r="469">
          <cell r="G469">
            <v>0</v>
          </cell>
        </row>
        <row r="470">
          <cell r="F470">
            <v>980.5</v>
          </cell>
        </row>
        <row r="471">
          <cell r="F471">
            <v>728.14</v>
          </cell>
        </row>
        <row r="472">
          <cell r="F472">
            <v>40871.79</v>
          </cell>
        </row>
        <row r="473">
          <cell r="F473">
            <v>87858.67</v>
          </cell>
        </row>
        <row r="478">
          <cell r="F478">
            <v>254</v>
          </cell>
        </row>
        <row r="479">
          <cell r="F479">
            <v>36651.02</v>
          </cell>
        </row>
        <row r="480">
          <cell r="F480">
            <v>122270.13</v>
          </cell>
        </row>
        <row r="517">
          <cell r="F517">
            <v>2206.52</v>
          </cell>
        </row>
        <row r="518">
          <cell r="F518">
            <v>55.86</v>
          </cell>
        </row>
        <row r="519">
          <cell r="F519">
            <v>51079.75</v>
          </cell>
        </row>
        <row r="520">
          <cell r="F520">
            <v>60568.8</v>
          </cell>
        </row>
        <row r="525">
          <cell r="F525">
            <v>0</v>
          </cell>
        </row>
        <row r="526">
          <cell r="F526">
            <v>2606.21</v>
          </cell>
        </row>
        <row r="527">
          <cell r="F527">
            <v>23392.86</v>
          </cell>
        </row>
        <row r="533">
          <cell r="F533">
            <v>45.77</v>
          </cell>
        </row>
      </sheetData>
      <sheetData sheetId="1">
        <row r="16">
          <cell r="G16">
            <v>-2249457.74</v>
          </cell>
        </row>
        <row r="23">
          <cell r="G23">
            <v>12100357.759999998</v>
          </cell>
        </row>
        <row r="25">
          <cell r="G25">
            <v>10038.47</v>
          </cell>
        </row>
        <row r="49">
          <cell r="F49">
            <v>0</v>
          </cell>
        </row>
        <row r="50">
          <cell r="F50">
            <v>0</v>
          </cell>
        </row>
        <row r="51">
          <cell r="F51">
            <v>-4674519</v>
          </cell>
        </row>
        <row r="55">
          <cell r="F55">
            <v>0</v>
          </cell>
        </row>
        <row r="56">
          <cell r="F56">
            <v>0</v>
          </cell>
        </row>
        <row r="57">
          <cell r="F57">
            <v>-1490507</v>
          </cell>
        </row>
        <row r="61">
          <cell r="F61">
            <v>0</v>
          </cell>
        </row>
        <row r="62">
          <cell r="F62">
            <v>0</v>
          </cell>
        </row>
        <row r="63">
          <cell r="F63">
            <v>-19657</v>
          </cell>
        </row>
        <row r="65">
          <cell r="G65">
            <v>-11049613</v>
          </cell>
        </row>
        <row r="104">
          <cell r="G104">
            <v>-6198399.7700000005</v>
          </cell>
        </row>
        <row r="121">
          <cell r="G121">
            <v>-1364184.0999999999</v>
          </cell>
        </row>
        <row r="159">
          <cell r="G159">
            <v>-524501</v>
          </cell>
        </row>
        <row r="193">
          <cell r="G193">
            <v>-226567.97999999998</v>
          </cell>
        </row>
        <row r="199">
          <cell r="G199">
            <v>-50113.97</v>
          </cell>
        </row>
        <row r="207">
          <cell r="G207">
            <v>-20527.9</v>
          </cell>
        </row>
        <row r="217">
          <cell r="G217">
            <v>-330321.9</v>
          </cell>
        </row>
        <row r="256">
          <cell r="G256">
            <v>-294617.31</v>
          </cell>
        </row>
        <row r="258">
          <cell r="G258">
            <v>-1290906</v>
          </cell>
        </row>
        <row r="260">
          <cell r="G260">
            <v>-505030.11</v>
          </cell>
        </row>
        <row r="267">
          <cell r="G267">
            <v>-446013</v>
          </cell>
        </row>
        <row r="272">
          <cell r="G272">
            <v>-263743.5</v>
          </cell>
        </row>
        <row r="293">
          <cell r="F293">
            <v>0</v>
          </cell>
        </row>
        <row r="294">
          <cell r="F294">
            <v>0</v>
          </cell>
        </row>
        <row r="295">
          <cell r="F295">
            <v>0</v>
          </cell>
        </row>
        <row r="296">
          <cell r="F296">
            <v>3288</v>
          </cell>
        </row>
        <row r="297">
          <cell r="F297">
            <v>-91475</v>
          </cell>
        </row>
        <row r="302">
          <cell r="F302">
            <v>0</v>
          </cell>
        </row>
        <row r="303">
          <cell r="F303">
            <v>0</v>
          </cell>
        </row>
        <row r="304">
          <cell r="F304">
            <v>0</v>
          </cell>
        </row>
        <row r="305">
          <cell r="F305">
            <v>791</v>
          </cell>
        </row>
        <row r="306">
          <cell r="F306">
            <v>-27184</v>
          </cell>
        </row>
        <row r="314">
          <cell r="F314">
            <v>-1</v>
          </cell>
        </row>
        <row r="315">
          <cell r="F315">
            <v>19</v>
          </cell>
        </row>
        <row r="317">
          <cell r="E317">
            <v>-5676242</v>
          </cell>
          <cell r="G317">
            <v>-5676242</v>
          </cell>
        </row>
        <row r="338">
          <cell r="E338">
            <v>-5376116</v>
          </cell>
          <cell r="G338">
            <v>-5376116</v>
          </cell>
        </row>
        <row r="343">
          <cell r="G343">
            <v>-27046.739999999998</v>
          </cell>
        </row>
        <row r="347">
          <cell r="F347">
            <v>-900.9</v>
          </cell>
        </row>
        <row r="348">
          <cell r="G348">
            <v>-29950.73</v>
          </cell>
        </row>
        <row r="356">
          <cell r="G356">
            <v>450</v>
          </cell>
        </row>
        <row r="357">
          <cell r="E357">
            <v>-29500.729999999996</v>
          </cell>
          <cell r="G357">
            <v>-29500.729999999996</v>
          </cell>
        </row>
        <row r="361">
          <cell r="F361">
            <v>0</v>
          </cell>
        </row>
        <row r="362">
          <cell r="F362">
            <v>0</v>
          </cell>
        </row>
        <row r="363">
          <cell r="F363">
            <v>0</v>
          </cell>
        </row>
        <row r="364">
          <cell r="F364">
            <v>0</v>
          </cell>
        </row>
        <row r="365">
          <cell r="F365">
            <v>59250</v>
          </cell>
        </row>
        <row r="366">
          <cell r="F366">
            <v>1500</v>
          </cell>
        </row>
        <row r="367">
          <cell r="F367">
            <v>1371608.06</v>
          </cell>
        </row>
        <row r="368">
          <cell r="F368">
            <v>1626410.46</v>
          </cell>
        </row>
        <row r="370">
          <cell r="F370">
            <v>0</v>
          </cell>
        </row>
        <row r="371">
          <cell r="F371">
            <v>0</v>
          </cell>
        </row>
        <row r="372">
          <cell r="F372">
            <v>0</v>
          </cell>
        </row>
        <row r="373">
          <cell r="F373">
            <v>0</v>
          </cell>
        </row>
        <row r="374">
          <cell r="F374">
            <v>0</v>
          </cell>
        </row>
        <row r="375">
          <cell r="F375">
            <v>69982.57</v>
          </cell>
        </row>
        <row r="376">
          <cell r="F376">
            <v>628151.78</v>
          </cell>
        </row>
        <row r="381">
          <cell r="F381">
            <v>0</v>
          </cell>
        </row>
        <row r="382">
          <cell r="F382">
            <v>0</v>
          </cell>
        </row>
        <row r="383">
          <cell r="F383">
            <v>1229</v>
          </cell>
        </row>
        <row r="384">
          <cell r="G384">
            <v>3791762.3499999996</v>
          </cell>
        </row>
        <row r="396">
          <cell r="G396">
            <v>-100</v>
          </cell>
        </row>
        <row r="397">
          <cell r="F397">
            <v>-5674.74</v>
          </cell>
        </row>
        <row r="398">
          <cell r="F398">
            <v>0</v>
          </cell>
        </row>
        <row r="402">
          <cell r="F402">
            <v>0</v>
          </cell>
        </row>
        <row r="403">
          <cell r="F403">
            <v>0</v>
          </cell>
        </row>
        <row r="405">
          <cell r="G405">
            <v>-8000.969999999999</v>
          </cell>
        </row>
        <row r="407">
          <cell r="E407">
            <v>3783761.3799999994</v>
          </cell>
          <cell r="G407">
            <v>3783761.3799999994</v>
          </cell>
        </row>
        <row r="462">
          <cell r="E462">
            <v>4105799.4900000007</v>
          </cell>
          <cell r="G462">
            <v>4105799.4900000007</v>
          </cell>
        </row>
        <row r="471">
          <cell r="F471">
            <v>0</v>
          </cell>
        </row>
        <row r="479">
          <cell r="F479">
            <v>0</v>
          </cell>
        </row>
        <row r="486">
          <cell r="D486">
            <v>-374.81</v>
          </cell>
          <cell r="G486">
            <v>292907.87</v>
          </cell>
        </row>
        <row r="532">
          <cell r="F532">
            <v>0</v>
          </cell>
        </row>
        <row r="540">
          <cell r="F540">
            <v>0</v>
          </cell>
        </row>
        <row r="547">
          <cell r="G547">
            <v>139421.58999999997</v>
          </cell>
        </row>
        <row r="548">
          <cell r="F548">
            <v>1047.62</v>
          </cell>
        </row>
        <row r="578">
          <cell r="E578">
            <v>474152.5300000001</v>
          </cell>
          <cell r="G578">
            <v>474152.5300000001</v>
          </cell>
          <cell r="Z578">
            <v>4579952.0200000005</v>
          </cell>
        </row>
        <row r="584">
          <cell r="F584">
            <v>0</v>
          </cell>
        </row>
        <row r="585">
          <cell r="G585">
            <v>0</v>
          </cell>
        </row>
        <row r="586">
          <cell r="F586">
            <v>-328.8</v>
          </cell>
        </row>
        <row r="593">
          <cell r="F593">
            <v>0</v>
          </cell>
        </row>
        <row r="595">
          <cell r="F595">
            <v>-79.1</v>
          </cell>
        </row>
        <row r="603">
          <cell r="F603">
            <v>0.1</v>
          </cell>
        </row>
        <row r="610">
          <cell r="F610">
            <v>0</v>
          </cell>
        </row>
        <row r="612">
          <cell r="F612">
            <v>40.3</v>
          </cell>
        </row>
        <row r="620">
          <cell r="F620">
            <v>-1.6</v>
          </cell>
        </row>
        <row r="626">
          <cell r="F626">
            <v>0</v>
          </cell>
        </row>
        <row r="630">
          <cell r="E630">
            <v>521247.75000000006</v>
          </cell>
          <cell r="G630">
            <v>528557.35</v>
          </cell>
        </row>
        <row r="633">
          <cell r="D633">
            <v>104.64</v>
          </cell>
        </row>
        <row r="635">
          <cell r="G635">
            <v>12016.59</v>
          </cell>
        </row>
        <row r="639">
          <cell r="E639">
            <v>3506.25</v>
          </cell>
          <cell r="G639">
            <v>3506.25</v>
          </cell>
        </row>
        <row r="644">
          <cell r="E644">
            <v>22313.94</v>
          </cell>
          <cell r="G644">
            <v>22313.94</v>
          </cell>
        </row>
        <row r="647">
          <cell r="E647">
            <v>92969.09</v>
          </cell>
          <cell r="G647">
            <v>92969.09</v>
          </cell>
        </row>
        <row r="648">
          <cell r="E648">
            <v>130805.87</v>
          </cell>
          <cell r="G648">
            <v>659363.22</v>
          </cell>
        </row>
        <row r="654">
          <cell r="D654">
            <v>64199.27</v>
          </cell>
        </row>
        <row r="657">
          <cell r="E657">
            <v>506642.6000000001</v>
          </cell>
        </row>
        <row r="720">
          <cell r="Z720">
            <v>34486.11</v>
          </cell>
        </row>
        <row r="721">
          <cell r="Z721">
            <v>278778.81</v>
          </cell>
        </row>
        <row r="760">
          <cell r="Z760">
            <v>6232.78</v>
          </cell>
        </row>
        <row r="761">
          <cell r="Z761">
            <v>49953.16000000001</v>
          </cell>
        </row>
        <row r="765">
          <cell r="Z765">
            <v>642.87</v>
          </cell>
        </row>
        <row r="768">
          <cell r="Z768">
            <v>4352.13</v>
          </cell>
        </row>
        <row r="781">
          <cell r="Z781">
            <v>399.46</v>
          </cell>
        </row>
        <row r="784">
          <cell r="Z784">
            <v>18259.35</v>
          </cell>
        </row>
        <row r="790">
          <cell r="Z790">
            <v>289.58</v>
          </cell>
        </row>
        <row r="830">
          <cell r="Z830">
            <v>6929.51</v>
          </cell>
        </row>
        <row r="831">
          <cell r="Z831">
            <v>27522.5</v>
          </cell>
        </row>
        <row r="863">
          <cell r="Z863">
            <v>21500.390000000003</v>
          </cell>
        </row>
        <row r="879">
          <cell r="Z879">
            <v>1666.56</v>
          </cell>
        </row>
        <row r="880">
          <cell r="Z880">
            <v>15251.62</v>
          </cell>
        </row>
        <row r="885">
          <cell r="Z885">
            <v>8248.7</v>
          </cell>
        </row>
        <row r="893">
          <cell r="Z893">
            <v>958.48</v>
          </cell>
        </row>
        <row r="896">
          <cell r="Z896">
            <v>85096.37</v>
          </cell>
        </row>
        <row r="911">
          <cell r="Z911">
            <v>4994.889999999999</v>
          </cell>
        </row>
        <row r="912">
          <cell r="Z912">
            <v>40133.19</v>
          </cell>
        </row>
        <row r="916">
          <cell r="Z916">
            <v>996.69</v>
          </cell>
        </row>
        <row r="918">
          <cell r="Z918">
            <v>5546.9</v>
          </cell>
        </row>
        <row r="941">
          <cell r="Z941">
            <v>2273.06</v>
          </cell>
        </row>
        <row r="942">
          <cell r="Z942">
            <v>25815.28</v>
          </cell>
        </row>
        <row r="955">
          <cell r="Z955">
            <v>458.98</v>
          </cell>
        </row>
        <row r="958">
          <cell r="Z958">
            <v>1732.87</v>
          </cell>
        </row>
        <row r="963">
          <cell r="Z963">
            <v>0</v>
          </cell>
        </row>
        <row r="966">
          <cell r="E966">
            <v>0</v>
          </cell>
        </row>
        <row r="994">
          <cell r="E994">
            <v>0</v>
          </cell>
        </row>
        <row r="1001">
          <cell r="Z1001">
            <v>802.17</v>
          </cell>
        </row>
        <row r="1003">
          <cell r="Z1003">
            <v>13421.92</v>
          </cell>
        </row>
        <row r="1004">
          <cell r="E1004">
            <v>-141208.19</v>
          </cell>
        </row>
        <row r="1005">
          <cell r="E1005">
            <v>969269.7099999997</v>
          </cell>
          <cell r="G1005">
            <v>969269.7099999997</v>
          </cell>
        </row>
        <row r="1029">
          <cell r="E1029">
            <v>172930.65000000002</v>
          </cell>
        </row>
        <row r="1033">
          <cell r="G1033">
            <v>52339.42</v>
          </cell>
        </row>
        <row r="1038">
          <cell r="E1038">
            <v>46955.560000000005</v>
          </cell>
        </row>
      </sheetData>
      <sheetData sheetId="2">
        <row r="9">
          <cell r="E9">
            <v>93733</v>
          </cell>
        </row>
        <row r="10">
          <cell r="E10">
            <v>8</v>
          </cell>
        </row>
        <row r="11">
          <cell r="E11">
            <v>0</v>
          </cell>
        </row>
        <row r="15">
          <cell r="E15">
            <v>86015</v>
          </cell>
        </row>
        <row r="16">
          <cell r="E16">
            <v>6011</v>
          </cell>
        </row>
        <row r="17">
          <cell r="E17">
            <v>0</v>
          </cell>
        </row>
        <row r="21">
          <cell r="C21">
            <v>0</v>
          </cell>
          <cell r="D21">
            <v>388216.64</v>
          </cell>
          <cell r="E21">
            <v>388216.64</v>
          </cell>
        </row>
        <row r="22">
          <cell r="C22">
            <v>0</v>
          </cell>
          <cell r="D22">
            <v>137574.07</v>
          </cell>
          <cell r="E22">
            <v>137574.07</v>
          </cell>
        </row>
        <row r="23">
          <cell r="C23">
            <v>0</v>
          </cell>
          <cell r="D23">
            <v>0</v>
          </cell>
          <cell r="E23">
            <v>0</v>
          </cell>
        </row>
        <row r="27">
          <cell r="C27">
            <v>929888.0153114785</v>
          </cell>
          <cell r="E27">
            <v>5669000.165311479</v>
          </cell>
        </row>
        <row r="28">
          <cell r="C28">
            <v>302248.25796003203</v>
          </cell>
          <cell r="E28">
            <v>848086.9279600321</v>
          </cell>
        </row>
        <row r="29">
          <cell r="C29">
            <v>4148.069670959347</v>
          </cell>
          <cell r="E29">
            <v>13148.069670959347</v>
          </cell>
        </row>
        <row r="42">
          <cell r="E42">
            <v>7846756.2299999995</v>
          </cell>
        </row>
      </sheetData>
      <sheetData sheetId="3">
        <row r="30">
          <cell r="C30">
            <v>600445.509405</v>
          </cell>
          <cell r="D30">
            <v>49187.048288</v>
          </cell>
          <cell r="E30">
            <v>10898.1005</v>
          </cell>
          <cell r="F30">
            <v>11875.9711</v>
          </cell>
        </row>
        <row r="31">
          <cell r="C31">
            <v>69157.759489</v>
          </cell>
          <cell r="D31">
            <v>17430.634669</v>
          </cell>
          <cell r="E31">
            <v>761.5936999999999</v>
          </cell>
        </row>
        <row r="32">
          <cell r="C32">
            <v>1140.3</v>
          </cell>
          <cell r="D32">
            <v>0</v>
          </cell>
          <cell r="E32">
            <v>0</v>
          </cell>
          <cell r="F32">
            <v>0</v>
          </cell>
        </row>
        <row r="33">
          <cell r="C33">
            <v>670743.568894</v>
          </cell>
          <cell r="D33">
            <v>66617.682957</v>
          </cell>
          <cell r="E33">
            <v>11659.6942</v>
          </cell>
          <cell r="F33">
            <v>11876.9847</v>
          </cell>
          <cell r="G33">
            <v>785337.2508590003</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B09-30-02 (Pre)"/>
      <sheetName val="TB09-30-02(Final)"/>
      <sheetName val="IBNR Cal-p13"/>
      <sheetName val="Cal. UPLR-p14"/>
      <sheetName val="Loss Exp Factor-p15"/>
      <sheetName val="LEP-QTD-p16"/>
      <sheetName val="LEP-YTD-p17"/>
      <sheetName val="bs - fx YTD"/>
      <sheetName val="bs-fx QTD"/>
      <sheetName val="inc-fx QTD"/>
      <sheetName val="inc - fx YTD"/>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Q05 Trial Balance"/>
      <sheetName val="IBNR Calculation-8"/>
      <sheetName val="ALAE &amp; ULAE Calculation-9"/>
      <sheetName val="Loss Expenses QTD-10"/>
    </sheetNames>
    <sheetDataSet>
      <sheetData sheetId="0">
        <row r="16">
          <cell r="D16">
            <v>5351287.03</v>
          </cell>
        </row>
        <row r="20">
          <cell r="D20">
            <v>8499515.86</v>
          </cell>
        </row>
        <row r="22">
          <cell r="C22">
            <v>72229.78</v>
          </cell>
        </row>
        <row r="23">
          <cell r="D23">
            <v>72229.78</v>
          </cell>
        </row>
        <row r="31">
          <cell r="D31">
            <v>42743.5</v>
          </cell>
        </row>
        <row r="42">
          <cell r="C42">
            <v>-5200979</v>
          </cell>
        </row>
        <row r="43">
          <cell r="C43">
            <v>-1490379</v>
          </cell>
        </row>
        <row r="44">
          <cell r="C44">
            <v>-17663</v>
          </cell>
        </row>
        <row r="46">
          <cell r="C46">
            <v>-3772348</v>
          </cell>
        </row>
        <row r="47">
          <cell r="C47">
            <v>-1045748</v>
          </cell>
        </row>
        <row r="48">
          <cell r="C48">
            <v>-11747</v>
          </cell>
        </row>
        <row r="68">
          <cell r="D68">
            <v>-4508868.609999999</v>
          </cell>
        </row>
        <row r="84">
          <cell r="D84">
            <v>-899302</v>
          </cell>
        </row>
        <row r="104">
          <cell r="D104">
            <v>-461826</v>
          </cell>
        </row>
        <row r="121">
          <cell r="D121">
            <v>-135866.9</v>
          </cell>
        </row>
        <row r="127">
          <cell r="D127">
            <v>-50945.26</v>
          </cell>
        </row>
        <row r="131">
          <cell r="D131">
            <v>-185534.30000000002</v>
          </cell>
        </row>
        <row r="135">
          <cell r="D135">
            <v>-27601.77</v>
          </cell>
        </row>
        <row r="145">
          <cell r="D145">
            <v>-301586.77</v>
          </cell>
        </row>
        <row r="172">
          <cell r="D172">
            <v>-617381.13</v>
          </cell>
        </row>
        <row r="175">
          <cell r="D175">
            <v>-1504718</v>
          </cell>
        </row>
        <row r="178">
          <cell r="D178">
            <v>-336917.95</v>
          </cell>
        </row>
        <row r="183">
          <cell r="D183">
            <v>-558607</v>
          </cell>
        </row>
        <row r="189">
          <cell r="D189">
            <v>-257758.13999999996</v>
          </cell>
        </row>
        <row r="206">
          <cell r="C206">
            <v>2949</v>
          </cell>
        </row>
        <row r="207">
          <cell r="C207">
            <v>675</v>
          </cell>
        </row>
        <row r="209">
          <cell r="C209">
            <v>38009</v>
          </cell>
        </row>
        <row r="210">
          <cell r="C210">
            <v>5139</v>
          </cell>
        </row>
        <row r="211">
          <cell r="C211">
            <v>377</v>
          </cell>
        </row>
        <row r="213">
          <cell r="C213">
            <v>-4305956</v>
          </cell>
        </row>
        <row r="214">
          <cell r="C214">
            <v>-1194841</v>
          </cell>
        </row>
        <row r="215">
          <cell r="C215">
            <v>-13388</v>
          </cell>
        </row>
        <row r="244">
          <cell r="D244">
            <v>-92750.15000000001</v>
          </cell>
        </row>
        <row r="258">
          <cell r="D258">
            <v>3812483.13</v>
          </cell>
        </row>
        <row r="260">
          <cell r="C260">
            <v>-100000</v>
          </cell>
        </row>
        <row r="262">
          <cell r="C262">
            <v>-86400.76</v>
          </cell>
        </row>
        <row r="263">
          <cell r="C263">
            <v>-8865</v>
          </cell>
        </row>
        <row r="265">
          <cell r="C265">
            <v>-9014.77</v>
          </cell>
        </row>
        <row r="266">
          <cell r="C266">
            <v>-16508.44</v>
          </cell>
        </row>
        <row r="268">
          <cell r="C268">
            <v>-3300</v>
          </cell>
        </row>
        <row r="270">
          <cell r="D270">
            <v>-224088.97</v>
          </cell>
        </row>
        <row r="327">
          <cell r="D327">
            <v>294494.80000000005</v>
          </cell>
        </row>
        <row r="341">
          <cell r="D341">
            <v>136185.83999999997</v>
          </cell>
        </row>
        <row r="385">
          <cell r="D385">
            <v>-362.4</v>
          </cell>
        </row>
        <row r="389">
          <cell r="D389">
            <v>-4354.1</v>
          </cell>
        </row>
        <row r="393">
          <cell r="D393">
            <v>563342.8</v>
          </cell>
        </row>
        <row r="395">
          <cell r="D395">
            <v>23.1</v>
          </cell>
        </row>
        <row r="399">
          <cell r="D399">
            <v>2027.5</v>
          </cell>
        </row>
        <row r="403">
          <cell r="D403">
            <v>-70513.8</v>
          </cell>
        </row>
        <row r="405">
          <cell r="D405">
            <v>490163.10000000003</v>
          </cell>
        </row>
        <row r="408">
          <cell r="D408">
            <v>13564.84</v>
          </cell>
        </row>
        <row r="410">
          <cell r="D410">
            <v>3093.75</v>
          </cell>
        </row>
        <row r="412">
          <cell r="C412">
            <v>23.89</v>
          </cell>
        </row>
        <row r="414">
          <cell r="D414">
            <v>64367.75</v>
          </cell>
        </row>
        <row r="416">
          <cell r="D416">
            <v>81050.23</v>
          </cell>
        </row>
        <row r="666">
          <cell r="D666">
            <v>997358.4699999999</v>
          </cell>
        </row>
      </sheetData>
      <sheetData sheetId="1">
        <row r="9">
          <cell r="C9">
            <v>40585</v>
          </cell>
          <cell r="E9">
            <v>102037.82</v>
          </cell>
        </row>
        <row r="10">
          <cell r="C10">
            <v>0</v>
          </cell>
          <cell r="E10">
            <v>0</v>
          </cell>
        </row>
        <row r="11">
          <cell r="C11">
            <v>0</v>
          </cell>
          <cell r="E11">
            <v>0</v>
          </cell>
        </row>
        <row r="16">
          <cell r="C16">
            <v>68821.12</v>
          </cell>
          <cell r="E16">
            <v>98339.08</v>
          </cell>
        </row>
        <row r="17">
          <cell r="C17">
            <v>7460.88</v>
          </cell>
          <cell r="E17">
            <v>10660.92</v>
          </cell>
        </row>
        <row r="18">
          <cell r="C18">
            <v>0</v>
          </cell>
          <cell r="E18">
            <v>0</v>
          </cell>
        </row>
        <row r="23">
          <cell r="C23">
            <v>-22824.94</v>
          </cell>
          <cell r="E23">
            <v>365310</v>
          </cell>
        </row>
        <row r="24">
          <cell r="C24">
            <v>-3999.06</v>
          </cell>
          <cell r="E24">
            <v>64004.4</v>
          </cell>
        </row>
        <row r="25">
          <cell r="C25">
            <v>0</v>
          </cell>
          <cell r="E25">
            <v>0</v>
          </cell>
        </row>
        <row r="30">
          <cell r="C30">
            <v>-506318.87</v>
          </cell>
          <cell r="E30">
            <v>2934865.01</v>
          </cell>
        </row>
        <row r="31">
          <cell r="C31">
            <v>-48797.13</v>
          </cell>
          <cell r="E31">
            <v>282851.38</v>
          </cell>
        </row>
        <row r="32">
          <cell r="C32">
            <v>0</v>
          </cell>
          <cell r="E32">
            <v>0</v>
          </cell>
        </row>
        <row r="36">
          <cell r="C36">
            <v>1331355.78</v>
          </cell>
          <cell r="E36">
            <v>635050</v>
          </cell>
        </row>
        <row r="37">
          <cell r="C37">
            <v>33019.22</v>
          </cell>
          <cell r="E37">
            <v>15750</v>
          </cell>
        </row>
        <row r="38">
          <cell r="C38">
            <v>0</v>
          </cell>
          <cell r="E38">
            <v>0</v>
          </cell>
        </row>
      </sheetData>
      <sheetData sheetId="2">
        <row r="23">
          <cell r="B23">
            <v>223968.58000000002</v>
          </cell>
          <cell r="C23">
            <v>215023.41999999998</v>
          </cell>
          <cell r="D23">
            <v>75686.08</v>
          </cell>
          <cell r="E23">
            <v>22133.71</v>
          </cell>
          <cell r="F23">
            <v>18943.12</v>
          </cell>
        </row>
        <row r="24">
          <cell r="B24">
            <v>5554.6900000000005</v>
          </cell>
          <cell r="C24">
            <v>20723.16</v>
          </cell>
          <cell r="D24">
            <v>13260.63</v>
          </cell>
          <cell r="E24">
            <v>2399.5099999999998</v>
          </cell>
          <cell r="F24">
            <v>0</v>
          </cell>
        </row>
        <row r="25">
          <cell r="B25">
            <v>0</v>
          </cell>
          <cell r="C25">
            <v>0</v>
          </cell>
          <cell r="D25">
            <v>0</v>
          </cell>
          <cell r="E25">
            <v>0</v>
          </cell>
          <cell r="F25">
            <v>0</v>
          </cell>
        </row>
      </sheetData>
      <sheetData sheetId="3">
        <row r="10">
          <cell r="L10">
            <v>5728.14</v>
          </cell>
        </row>
        <row r="11">
          <cell r="F11">
            <v>0</v>
          </cell>
          <cell r="L11">
            <v>0</v>
          </cell>
        </row>
        <row r="12">
          <cell r="F12">
            <v>0</v>
          </cell>
          <cell r="L12">
            <v>0</v>
          </cell>
        </row>
        <row r="13">
          <cell r="D13">
            <v>5728.14</v>
          </cell>
          <cell r="J13">
            <v>0</v>
          </cell>
        </row>
        <row r="16">
          <cell r="F16">
            <v>112.55</v>
          </cell>
          <cell r="L16">
            <v>8653.130000000001</v>
          </cell>
        </row>
        <row r="17">
          <cell r="F17">
            <v>950</v>
          </cell>
          <cell r="L17">
            <v>15571.28</v>
          </cell>
        </row>
        <row r="18">
          <cell r="F18">
            <v>0</v>
          </cell>
          <cell r="L18">
            <v>0</v>
          </cell>
        </row>
        <row r="19">
          <cell r="D19">
            <v>24186.46</v>
          </cell>
          <cell r="J19">
            <v>37.95</v>
          </cell>
        </row>
        <row r="22">
          <cell r="F22">
            <v>884764.1</v>
          </cell>
          <cell r="L22">
            <v>64031.2</v>
          </cell>
        </row>
        <row r="23">
          <cell r="F23">
            <v>56308.32</v>
          </cell>
          <cell r="L23">
            <v>26097.77</v>
          </cell>
        </row>
        <row r="24">
          <cell r="F24">
            <v>0</v>
          </cell>
          <cell r="L24">
            <v>0</v>
          </cell>
        </row>
        <row r="25">
          <cell r="D25">
            <v>56512.89</v>
          </cell>
          <cell r="J25">
            <v>33616.08</v>
          </cell>
        </row>
        <row r="28">
          <cell r="F28">
            <v>2597643.95</v>
          </cell>
          <cell r="L28">
            <v>217741.5</v>
          </cell>
        </row>
        <row r="29">
          <cell r="F29">
            <v>268119.77</v>
          </cell>
          <cell r="L29">
            <v>89797.51000000001</v>
          </cell>
        </row>
        <row r="30">
          <cell r="F30">
            <v>1779</v>
          </cell>
          <cell r="L30">
            <v>357.55</v>
          </cell>
        </row>
        <row r="31">
          <cell r="D31">
            <v>205464.96000000002</v>
          </cell>
          <cell r="J31">
            <v>102431.6</v>
          </cell>
        </row>
        <row r="34">
          <cell r="F34">
            <v>2805.44</v>
          </cell>
          <cell r="L34">
            <v>1133.16</v>
          </cell>
        </row>
        <row r="35">
          <cell r="F35">
            <v>0</v>
          </cell>
          <cell r="L35">
            <v>1569.4</v>
          </cell>
        </row>
        <row r="36">
          <cell r="F36">
            <v>0</v>
          </cell>
          <cell r="L36">
            <v>0</v>
          </cell>
        </row>
        <row r="37">
          <cell r="D37">
            <v>2602.3500000000004</v>
          </cell>
          <cell r="J37">
            <v>100.21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RIAL BALANCE"/>
      <sheetName val="IBNR Calculation-13"/>
      <sheetName val="ULER Calculation-14"/>
      <sheetName val="ULEF-15"/>
      <sheetName val="LEP-16"/>
      <sheetName val="LEP-17"/>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 fx QTR"/>
      <sheetName val="in - fx QTR"/>
      <sheetName val="bs-fx YTD"/>
      <sheetName val="in-fx YTD"/>
      <sheetName val="TB 3-31-2000"/>
      <sheetName val="Balance Sheet"/>
      <sheetName val="Income Statement"/>
      <sheetName val="Equity QTR"/>
      <sheetName val="Earned Incurred QTD"/>
      <sheetName val="Premiums QTD"/>
      <sheetName val="Losses Incurred QTR"/>
      <sheetName val="Loss Expenses QTR"/>
      <sheetName val="IBNR Reserve"/>
      <sheetName val="Cal. Unpaid Loss Reserve"/>
      <sheetName val="Loss Exp Factor"/>
      <sheetName val="Loss Exp Paid"/>
      <sheetName val="UPR"/>
      <sheetName val="ALAE &amp; ULAE CAL"/>
      <sheetName val="Loss Exp Paid (2)"/>
    </sheetNames>
    <sheetDataSet>
      <sheetData sheetId="10">
        <row r="21">
          <cell r="F21">
            <v>149640.16</v>
          </cell>
        </row>
        <row r="22">
          <cell r="F22">
            <v>60667.2</v>
          </cell>
        </row>
        <row r="23">
          <cell r="F23">
            <v>-8764</v>
          </cell>
        </row>
      </sheetData>
      <sheetData sheetId="11">
        <row r="21">
          <cell r="F21">
            <v>15667.324752000002</v>
          </cell>
        </row>
        <row r="22">
          <cell r="F22">
            <v>6351.855840000001</v>
          </cell>
        </row>
        <row r="23">
          <cell r="F23">
            <v>-917.5908000000001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D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11">
        <row r="17">
          <cell r="C17">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ighlights (pg 1)"/>
      <sheetName val="Balance (pg 2)"/>
      <sheetName val="Income (pg 3) "/>
      <sheetName val="Ratio QTR (pg 4)"/>
      <sheetName val="Ratio YTD (pg 5)"/>
      <sheetName val="Comp Ratio QTR (pg 6)"/>
      <sheetName val="Comp Ratio YTD (pg 7)"/>
      <sheetName val="WP ALL QTD (pg 8)"/>
      <sheetName val="Written Premium (pg 9)"/>
      <sheetName val="Policies Issued (pg 10) "/>
      <sheetName val="Inforce Premium (pg 11)"/>
      <sheetName val="Inforce Polices 99-00 (pg 12)"/>
      <sheetName val="Inforce Policies (pg 13) "/>
      <sheetName val="Inforce-trends (pg 14)"/>
    </sheetNames>
    <sheetDataSet>
      <sheetData sheetId="0">
        <row r="10">
          <cell r="B10">
            <v>4280821</v>
          </cell>
          <cell r="F10">
            <v>16190670</v>
          </cell>
        </row>
        <row r="12">
          <cell r="B12">
            <v>4133399</v>
          </cell>
          <cell r="F12">
            <v>16708714</v>
          </cell>
        </row>
        <row r="14">
          <cell r="B14">
            <v>2779701.7999999993</v>
          </cell>
          <cell r="F14">
            <v>14011900.985</v>
          </cell>
        </row>
        <row r="16">
          <cell r="B16">
            <v>359851.97759499995</v>
          </cell>
          <cell r="F16">
            <v>1458256.25543</v>
          </cell>
        </row>
        <row r="18">
          <cell r="B18">
            <v>1236377.2000000002</v>
          </cell>
          <cell r="F18">
            <v>5361056.619999999</v>
          </cell>
        </row>
        <row r="22">
          <cell r="B22">
            <v>51020.619999999995</v>
          </cell>
          <cell r="F22">
            <v>406576.29999999993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09-30-02 (Pre)"/>
      <sheetName val="TB09-30-02(Final)"/>
      <sheetName val="(11) Balance Sheet-p1"/>
      <sheetName val="(10)Income Statement-p2"/>
      <sheetName val="(9)Equity QTR-p3"/>
      <sheetName val="(9)Equity YTD-p4"/>
      <sheetName val="(8)Earned Incurred QTD-p5"/>
      <sheetName val="(8)Earned Incurred YTD-p6"/>
      <sheetName val="(7)Premiums QTD-p7"/>
      <sheetName val="(7)Premiums YTD-p8"/>
      <sheetName val="(6)Losses Incurred QTR-p9"/>
      <sheetName val="(6)Losses Incurred YTD-p10"/>
      <sheetName val="(5)Loss Expenses QTR-p11"/>
      <sheetName val="(4)Loss Expenses YTD-p12"/>
      <sheetName val="(4)IBNR Cal-p13"/>
      <sheetName val="(3)Cal. UPLR-p14"/>
      <sheetName val="(2)Loss Exp Factor-p15"/>
      <sheetName val="(1)LEP-QTD-p16JE5"/>
      <sheetName val="(1)ULEP-YTD-p17"/>
      <sheetName val="ALAE &amp; ULAE JE3"/>
      <sheetName val="IBNR JE2"/>
      <sheetName val="UPR-JE1"/>
      <sheetName val="bs - fx YTD"/>
      <sheetName val="bs-fx QTD"/>
      <sheetName val="inc-fx QTD"/>
      <sheetName val="inc - fx YTD"/>
      <sheetName val="1highlights"/>
      <sheetName val="2ABalance"/>
      <sheetName val="3Income"/>
      <sheetName val="4WP"/>
      <sheetName val="5Losses"/>
      <sheetName val="6LAE"/>
      <sheetName val="7Underwtg"/>
      <sheetName val="8Invest"/>
      <sheetName val="9oper-QTR"/>
      <sheetName val="10oper-YTD"/>
      <sheetName val="compare"/>
      <sheetName val="WP-LOB"/>
      <sheetName val="WP-All"/>
      <sheetName val="POL-LOB"/>
      <sheetName val="IFP-LOB"/>
      <sheetName val="IFP-3YR"/>
      <sheetName val="Geographic"/>
    </sheetNames>
    <sheetDataSet>
      <sheetData sheetId="1">
        <row r="195">
          <cell r="F195">
            <v>-37678.14</v>
          </cell>
        </row>
        <row r="511">
          <cell r="I511">
            <v>4077593.119999999</v>
          </cell>
        </row>
        <row r="551">
          <cell r="E551">
            <v>404349.55000000005</v>
          </cell>
        </row>
        <row r="555">
          <cell r="E555">
            <v>14250</v>
          </cell>
        </row>
        <row r="559">
          <cell r="E559">
            <v>4125</v>
          </cell>
        </row>
        <row r="562">
          <cell r="E562">
            <v>11580</v>
          </cell>
        </row>
        <row r="565">
          <cell r="E565">
            <v>72119.22</v>
          </cell>
        </row>
        <row r="572">
          <cell r="D572">
            <v>60915.6</v>
          </cell>
        </row>
        <row r="575">
          <cell r="E575">
            <v>493927.50999999995</v>
          </cell>
        </row>
        <row r="588">
          <cell r="E588">
            <v>6121.579999999999</v>
          </cell>
        </row>
        <row r="596">
          <cell r="E596">
            <v>740</v>
          </cell>
        </row>
        <row r="604">
          <cell r="E604">
            <v>97075.6</v>
          </cell>
        </row>
        <row r="612">
          <cell r="E612">
            <v>4318.860000000001</v>
          </cell>
        </row>
        <row r="614">
          <cell r="E614">
            <v>0</v>
          </cell>
        </row>
        <row r="622">
          <cell r="E622">
            <v>28768.15</v>
          </cell>
        </row>
        <row r="630">
          <cell r="E630">
            <v>22601.24</v>
          </cell>
        </row>
        <row r="638">
          <cell r="E638">
            <v>35653.57</v>
          </cell>
        </row>
        <row r="646">
          <cell r="E646">
            <v>5068.710000000001</v>
          </cell>
        </row>
        <row r="654">
          <cell r="E654">
            <v>1334.0499999999997</v>
          </cell>
        </row>
        <row r="662">
          <cell r="E662">
            <v>40.7</v>
          </cell>
        </row>
        <row r="670">
          <cell r="E670">
            <v>64</v>
          </cell>
        </row>
        <row r="678">
          <cell r="E678">
            <v>-77067.81</v>
          </cell>
        </row>
        <row r="686">
          <cell r="E686">
            <v>7500</v>
          </cell>
        </row>
        <row r="695">
          <cell r="E695">
            <v>3752.6800000000003</v>
          </cell>
        </row>
        <row r="703">
          <cell r="E703">
            <v>1200</v>
          </cell>
        </row>
        <row r="708">
          <cell r="E708">
            <v>1300</v>
          </cell>
        </row>
        <row r="717">
          <cell r="E717">
            <v>6863.25</v>
          </cell>
        </row>
        <row r="725">
          <cell r="E725">
            <v>-3805.63</v>
          </cell>
        </row>
        <row r="733">
          <cell r="E733">
            <v>1260.99</v>
          </cell>
        </row>
        <row r="741">
          <cell r="E741">
            <v>-3405.6200000000003</v>
          </cell>
        </row>
        <row r="749">
          <cell r="E749">
            <v>14759</v>
          </cell>
        </row>
        <row r="757">
          <cell r="E757">
            <v>0</v>
          </cell>
        </row>
        <row r="765">
          <cell r="E765">
            <v>12345.16</v>
          </cell>
        </row>
        <row r="773">
          <cell r="E773">
            <v>1895.9999999999998</v>
          </cell>
        </row>
        <row r="782">
          <cell r="E782">
            <v>11867.8</v>
          </cell>
        </row>
        <row r="789">
          <cell r="D789">
            <v>629.93</v>
          </cell>
        </row>
        <row r="798">
          <cell r="E798">
            <v>74396.99999999999</v>
          </cell>
        </row>
        <row r="806">
          <cell r="E806">
            <v>8142.41</v>
          </cell>
        </row>
        <row r="814">
          <cell r="E814">
            <v>36838.03</v>
          </cell>
        </row>
        <row r="823">
          <cell r="E823">
            <v>10485.240000000002</v>
          </cell>
        </row>
        <row r="828">
          <cell r="E828">
            <v>10388.74</v>
          </cell>
        </row>
        <row r="836">
          <cell r="E836">
            <v>14380.24</v>
          </cell>
        </row>
        <row r="844">
          <cell r="E844">
            <v>224.27</v>
          </cell>
        </row>
        <row r="852">
          <cell r="E852">
            <v>12540.77</v>
          </cell>
        </row>
        <row r="860">
          <cell r="E860">
            <v>43.900000000000006</v>
          </cell>
        </row>
        <row r="867">
          <cell r="E867">
            <v>3673.2799999999997</v>
          </cell>
        </row>
        <row r="872">
          <cell r="D872">
            <v>0</v>
          </cell>
        </row>
        <row r="875">
          <cell r="E875">
            <v>17941</v>
          </cell>
        </row>
        <row r="911">
          <cell r="E911">
            <v>-100192.73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R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0">
        <row r="9">
          <cell r="E9">
            <v>9779587.32</v>
          </cell>
        </row>
        <row r="10">
          <cell r="E10">
            <v>9035.63</v>
          </cell>
        </row>
        <row r="11">
          <cell r="D11">
            <v>240717.92</v>
          </cell>
          <cell r="E11">
            <v>0</v>
          </cell>
        </row>
        <row r="12">
          <cell r="E12">
            <v>20473.260000000002</v>
          </cell>
        </row>
        <row r="13">
          <cell r="D13">
            <v>58331.310000000005</v>
          </cell>
          <cell r="E13">
            <v>0</v>
          </cell>
        </row>
        <row r="14">
          <cell r="E14">
            <v>0</v>
          </cell>
        </row>
        <row r="16">
          <cell r="D16">
            <v>335155</v>
          </cell>
          <cell r="E16">
            <v>0</v>
          </cell>
        </row>
        <row r="17">
          <cell r="D17">
            <v>4979.98</v>
          </cell>
          <cell r="E17">
            <v>0</v>
          </cell>
        </row>
        <row r="22">
          <cell r="D22">
            <v>618846.84</v>
          </cell>
        </row>
        <row r="23">
          <cell r="D23">
            <v>965550.22</v>
          </cell>
        </row>
        <row r="24">
          <cell r="D24">
            <v>364716</v>
          </cell>
        </row>
        <row r="25">
          <cell r="D25">
            <v>113994.26000000001</v>
          </cell>
        </row>
        <row r="26">
          <cell r="D26">
            <v>91297.81</v>
          </cell>
        </row>
        <row r="31">
          <cell r="D31">
            <v>8776992</v>
          </cell>
        </row>
        <row r="32">
          <cell r="D32">
            <v>5068927.600000001</v>
          </cell>
        </row>
        <row r="33">
          <cell r="D33">
            <v>1302472.2</v>
          </cell>
        </row>
        <row r="34">
          <cell r="D34">
            <v>394965.17999999993</v>
          </cell>
        </row>
        <row r="35">
          <cell r="D35">
            <v>127127.4</v>
          </cell>
        </row>
        <row r="36">
          <cell r="D36">
            <v>324856.71</v>
          </cell>
        </row>
        <row r="37">
          <cell r="D37">
            <v>34740</v>
          </cell>
        </row>
        <row r="44">
          <cell r="E44">
            <v>-8375390.010000002</v>
          </cell>
        </row>
      </sheetData>
      <sheetData sheetId="1">
        <row r="12">
          <cell r="C12">
            <v>4336172</v>
          </cell>
          <cell r="E12">
            <v>12605846</v>
          </cell>
        </row>
        <row r="15">
          <cell r="B15">
            <v>3666364.3599999994</v>
          </cell>
          <cell r="D15">
            <v>10954919.14</v>
          </cell>
        </row>
        <row r="16">
          <cell r="B16">
            <v>411228.76</v>
          </cell>
          <cell r="D16">
            <v>1134850.71</v>
          </cell>
        </row>
        <row r="17">
          <cell r="B17">
            <v>404349.55000000005</v>
          </cell>
          <cell r="D17">
            <v>1195688.7</v>
          </cell>
        </row>
        <row r="18">
          <cell r="B18">
            <v>859175.9900000002</v>
          </cell>
          <cell r="D18">
            <v>2663959.2600000016</v>
          </cell>
        </row>
        <row r="19">
          <cell r="B19">
            <v>11580</v>
          </cell>
          <cell r="D19">
            <v>32840.51</v>
          </cell>
        </row>
        <row r="25">
          <cell r="C25">
            <v>52310.600000000006</v>
          </cell>
          <cell r="E25">
            <v>170480.6</v>
          </cell>
        </row>
        <row r="30">
          <cell r="C30">
            <v>-7427828.95</v>
          </cell>
        </row>
        <row r="32">
          <cell r="B32">
            <v>16655</v>
          </cell>
          <cell r="D32">
            <v>-287408.34</v>
          </cell>
        </row>
        <row r="33">
          <cell r="D33">
            <v>-25.57</v>
          </cell>
        </row>
        <row r="34">
          <cell r="D34">
            <v>335155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D-p3"/>
      <sheetName val="Equity YTD-p4"/>
      <sheetName val="Earned Incurred QTD-p5"/>
      <sheetName val="Earned Incurred YTD-p6"/>
      <sheetName val="Premiums QTD-p7"/>
      <sheetName val="Premiums YTD-p8"/>
      <sheetName val="Losses Incurred QTD-p9"/>
      <sheetName val="(6)Losses Incurred YTD-p1"/>
      <sheetName val="Losses Incurred YTD-p10"/>
      <sheetName val="Loss Expenses QTD-p11"/>
      <sheetName val="Loss Expenses YTD-p12"/>
      <sheetName val="Business Summary"/>
      <sheetName val="BP-highlights-1"/>
    </sheetNames>
    <sheetDataSet>
      <sheetData sheetId="5">
        <row r="16">
          <cell r="D16">
            <v>4977049</v>
          </cell>
        </row>
        <row r="23">
          <cell r="D23">
            <v>3008827.2250000006</v>
          </cell>
        </row>
        <row r="30">
          <cell r="D30">
            <v>391930.13999999996</v>
          </cell>
        </row>
        <row r="36">
          <cell r="D36">
            <v>19861.65</v>
          </cell>
        </row>
        <row r="37">
          <cell r="D37">
            <v>502893.80000000005</v>
          </cell>
        </row>
        <row r="38">
          <cell r="C38">
            <v>88104.19</v>
          </cell>
        </row>
        <row r="39">
          <cell r="C39">
            <v>994477.8400000003</v>
          </cell>
        </row>
        <row r="43">
          <cell r="C43">
            <v>-4443.070000000065</v>
          </cell>
        </row>
        <row r="52">
          <cell r="D52">
            <v>26859.149999999994</v>
          </cell>
        </row>
      </sheetData>
      <sheetData sheetId="6">
        <row r="16">
          <cell r="D16">
            <v>14052348</v>
          </cell>
        </row>
        <row r="23">
          <cell r="D23">
            <v>10083053.040000003</v>
          </cell>
        </row>
        <row r="30">
          <cell r="D30">
            <v>1203762.75</v>
          </cell>
        </row>
        <row r="36">
          <cell r="D36">
            <v>77491.65</v>
          </cell>
        </row>
        <row r="37">
          <cell r="D37">
            <v>1421253.0999999999</v>
          </cell>
        </row>
        <row r="38">
          <cell r="C38">
            <v>276480.87</v>
          </cell>
        </row>
        <row r="39">
          <cell r="C39">
            <v>2930842.619999998</v>
          </cell>
        </row>
        <row r="43">
          <cell r="C43">
            <v>-50865.62000000005</v>
          </cell>
        </row>
        <row r="52">
          <cell r="D52">
            <v>88395.67</v>
          </cell>
        </row>
        <row r="54">
          <cell r="D54">
            <v>-1801274.7400000002</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R-p3"/>
      <sheetName val="Equity YTD-p4"/>
      <sheetName val="Earned Incurred QTD-p5"/>
      <sheetName val="Earned Incurred YTD-p6"/>
      <sheetName val="Premiums QTD-p7"/>
      <sheetName val="Premiums YTD-p8"/>
      <sheetName val="Losses Incurred QTR-p9"/>
      <sheetName val="(6)Losses Incurred YTD-p1"/>
      <sheetName val="Losses Incurred YTD-p10"/>
      <sheetName val="Loss Expenses QTR-p11"/>
      <sheetName val="Loss Expenses YTD-p12"/>
      <sheetName val="Business Summary"/>
      <sheetName val="BP-highlights-1"/>
    </sheetNames>
    <sheetDataSet>
      <sheetData sheetId="1">
        <row r="45">
          <cell r="E45">
            <v>-11338276.419999996</v>
          </cell>
        </row>
      </sheetData>
      <sheetData sheetId="2">
        <row r="30">
          <cell r="E30">
            <v>-9552178.5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0"/>
  <sheetViews>
    <sheetView workbookViewId="0" topLeftCell="A1">
      <selection activeCell="E16" sqref="E16"/>
    </sheetView>
  </sheetViews>
  <sheetFormatPr defaultColWidth="9.140625" defaultRowHeight="12.75"/>
  <cols>
    <col min="1" max="1" width="45.8515625" style="18" bestFit="1" customWidth="1"/>
    <col min="2" max="3" width="17.7109375" style="127" hidden="1" customWidth="1"/>
    <col min="4" max="5" width="17.7109375" style="127" customWidth="1"/>
    <col min="6" max="7" width="16.8515625" style="127" hidden="1" customWidth="1"/>
    <col min="8" max="9" width="16.8515625" style="127" customWidth="1"/>
    <col min="10" max="16384" width="9.140625" style="18" customWidth="1"/>
  </cols>
  <sheetData>
    <row r="1" spans="1:9" s="117" customFormat="1" ht="23.25">
      <c r="A1" s="904" t="s">
        <v>251</v>
      </c>
      <c r="B1" s="904"/>
      <c r="C1" s="904"/>
      <c r="D1" s="904"/>
      <c r="E1" s="904"/>
      <c r="F1" s="904"/>
      <c r="G1" s="904"/>
      <c r="H1" s="904"/>
      <c r="I1" s="904"/>
    </row>
    <row r="2" spans="1:7" s="20" customFormat="1" ht="18.75">
      <c r="A2" s="905"/>
      <c r="B2" s="905"/>
      <c r="C2" s="905"/>
      <c r="D2" s="905"/>
      <c r="E2" s="905"/>
      <c r="F2" s="372"/>
      <c r="G2" s="372"/>
    </row>
    <row r="3" spans="1:9" s="21" customFormat="1" ht="15">
      <c r="A3" s="906" t="s">
        <v>269</v>
      </c>
      <c r="B3" s="906"/>
      <c r="C3" s="906"/>
      <c r="D3" s="906"/>
      <c r="E3" s="906"/>
      <c r="F3" s="906"/>
      <c r="G3" s="906"/>
      <c r="H3" s="906"/>
      <c r="I3" s="906"/>
    </row>
    <row r="4" spans="1:9" s="21" customFormat="1" ht="15">
      <c r="A4" s="907" t="s">
        <v>150</v>
      </c>
      <c r="B4" s="907"/>
      <c r="C4" s="907"/>
      <c r="D4" s="907"/>
      <c r="E4" s="907"/>
      <c r="F4" s="907"/>
      <c r="G4" s="907"/>
      <c r="H4" s="907"/>
      <c r="I4" s="907"/>
    </row>
    <row r="5" spans="1:9" s="21" customFormat="1" ht="15">
      <c r="A5" s="643"/>
      <c r="B5" s="644"/>
      <c r="C5" s="644"/>
      <c r="D5" s="644"/>
      <c r="E5" s="644"/>
      <c r="F5" s="337"/>
      <c r="G5" s="337"/>
      <c r="H5" s="337"/>
      <c r="I5" s="337"/>
    </row>
    <row r="6" spans="1:7" ht="14.25">
      <c r="A6" s="22"/>
      <c r="B6" s="344"/>
      <c r="C6" s="344"/>
      <c r="F6" s="344"/>
      <c r="G6" s="344"/>
    </row>
    <row r="7" spans="2:9" ht="15">
      <c r="B7" s="645" t="s">
        <v>223</v>
      </c>
      <c r="C7" s="645"/>
      <c r="D7" s="645" t="s">
        <v>15</v>
      </c>
      <c r="E7" s="645"/>
      <c r="F7" s="645" t="s">
        <v>223</v>
      </c>
      <c r="G7" s="645"/>
      <c r="H7" s="645" t="s">
        <v>15</v>
      </c>
      <c r="I7" s="645"/>
    </row>
    <row r="8" spans="1:9" ht="15">
      <c r="A8" s="646"/>
      <c r="B8" s="515" t="s">
        <v>224</v>
      </c>
      <c r="C8" s="515"/>
      <c r="D8" s="515" t="s">
        <v>134</v>
      </c>
      <c r="E8" s="515"/>
      <c r="F8" s="515" t="s">
        <v>225</v>
      </c>
      <c r="G8" s="515"/>
      <c r="H8" s="515" t="s">
        <v>135</v>
      </c>
      <c r="I8" s="515"/>
    </row>
    <row r="9" spans="2:9" ht="15">
      <c r="B9" s="647"/>
      <c r="C9" s="648"/>
      <c r="D9" s="647"/>
      <c r="E9" s="649"/>
      <c r="F9" s="647"/>
      <c r="G9" s="649"/>
      <c r="H9" s="647"/>
      <c r="I9" s="649"/>
    </row>
    <row r="10" spans="1:9" ht="15">
      <c r="A10" s="646" t="s">
        <v>271</v>
      </c>
      <c r="B10" s="647"/>
      <c r="C10" s="649"/>
      <c r="D10" s="647"/>
      <c r="E10" s="649"/>
      <c r="F10" s="647"/>
      <c r="G10" s="649"/>
      <c r="H10" s="647"/>
      <c r="I10" s="649"/>
    </row>
    <row r="11" spans="1:9" ht="15">
      <c r="A11" s="646"/>
      <c r="B11" s="647"/>
      <c r="C11" s="649"/>
      <c r="D11" s="647"/>
      <c r="E11" s="649"/>
      <c r="F11" s="647"/>
      <c r="G11" s="649"/>
      <c r="H11" s="647"/>
      <c r="I11" s="649"/>
    </row>
    <row r="12" spans="1:9" ht="15">
      <c r="A12" s="18" t="s">
        <v>272</v>
      </c>
      <c r="C12" s="571">
        <f>'[8]Earned Incurred QTD-p5'!D16</f>
        <v>4977049</v>
      </c>
      <c r="D12" s="495"/>
      <c r="E12" s="571">
        <f>'[8]Earned Incurred YTD-p6'!D16</f>
        <v>14052348</v>
      </c>
      <c r="G12" s="571">
        <f>+'[7]Income Statement (pg 2)'!$C$12</f>
        <v>4336172</v>
      </c>
      <c r="I12" s="571">
        <f>+'[7]Income Statement (pg 2)'!$E$12</f>
        <v>12605846</v>
      </c>
    </row>
    <row r="13" spans="1:9" ht="15">
      <c r="A13" s="646"/>
      <c r="C13" s="491"/>
      <c r="E13" s="491"/>
      <c r="G13" s="491"/>
      <c r="I13" s="491"/>
    </row>
    <row r="14" spans="1:9" ht="15">
      <c r="A14" s="646" t="s">
        <v>273</v>
      </c>
      <c r="C14" s="491"/>
      <c r="E14" s="491"/>
      <c r="G14" s="491"/>
      <c r="I14" s="491"/>
    </row>
    <row r="15" spans="1:9" ht="14.25">
      <c r="A15" s="18" t="s">
        <v>274</v>
      </c>
      <c r="B15" s="127">
        <f>'[8]Earned Incurred QTD-p5'!D23</f>
        <v>3008827.2250000006</v>
      </c>
      <c r="C15" s="491"/>
      <c r="D15" s="127">
        <f>'[8]Earned Incurred YTD-p6'!D23</f>
        <v>10083053.040000003</v>
      </c>
      <c r="E15" s="491"/>
      <c r="F15" s="127">
        <f>+'[7]Income Statement (pg 2)'!$B$15</f>
        <v>3666364.3599999994</v>
      </c>
      <c r="G15" s="491"/>
      <c r="H15" s="127">
        <f>+'[7]Income Statement (pg 2)'!$D$15</f>
        <v>10954919.14</v>
      </c>
      <c r="I15" s="491"/>
    </row>
    <row r="16" spans="1:9" ht="14.25">
      <c r="A16" s="18" t="s">
        <v>275</v>
      </c>
      <c r="B16" s="127">
        <f>'[8]Earned Incurred QTD-p5'!D30</f>
        <v>391930.13999999996</v>
      </c>
      <c r="C16" s="491"/>
      <c r="D16" s="127">
        <f>'[8]Earned Incurred YTD-p6'!D30</f>
        <v>1203762.75</v>
      </c>
      <c r="E16" s="491"/>
      <c r="F16" s="127">
        <f>+'[7]Income Statement (pg 2)'!$B$16</f>
        <v>411228.76</v>
      </c>
      <c r="G16" s="491"/>
      <c r="H16" s="127">
        <f>+'[7]Income Statement (pg 2)'!$D$16</f>
        <v>1134850.71</v>
      </c>
      <c r="I16" s="491"/>
    </row>
    <row r="17" spans="1:9" ht="14.25">
      <c r="A17" s="18" t="s">
        <v>276</v>
      </c>
      <c r="B17" s="127">
        <f>'[8]Earned Incurred QTD-p5'!D37</f>
        <v>502893.80000000005</v>
      </c>
      <c r="C17" s="491"/>
      <c r="D17" s="127">
        <f>+'[8]Earned Incurred YTD-p6'!D37</f>
        <v>1421253.0999999999</v>
      </c>
      <c r="E17" s="491"/>
      <c r="F17" s="127">
        <f>+'[7]Income Statement (pg 2)'!$B$17:$B$17</f>
        <v>404349.55000000005</v>
      </c>
      <c r="G17" s="491"/>
      <c r="H17" s="127">
        <f>+'[7]Income Statement (pg 2)'!$D$17</f>
        <v>1195688.7</v>
      </c>
      <c r="I17" s="491"/>
    </row>
    <row r="18" spans="1:9" ht="14.25">
      <c r="A18" s="18" t="s">
        <v>277</v>
      </c>
      <c r="B18" s="127">
        <f>'[8]Earned Incurred QTD-p5'!C39+'[8]Earned Incurred QTD-p5'!C38+'[8]Earned Incurred QTD-p5'!C43</f>
        <v>1078138.9600000002</v>
      </c>
      <c r="C18" s="491"/>
      <c r="D18" s="127">
        <f>'[8]Earned Incurred YTD-p6'!C38+'[8]Earned Incurred YTD-p6'!C39+'[8]Earned Incurred YTD-p6'!C43</f>
        <v>3156457.869999998</v>
      </c>
      <c r="E18" s="491"/>
      <c r="F18" s="127">
        <f>+'[7]Income Statement (pg 2)'!$B$18</f>
        <v>859175.9900000002</v>
      </c>
      <c r="G18" s="491"/>
      <c r="H18" s="127">
        <f>+'[7]Income Statement (pg 2)'!$D$18</f>
        <v>2663959.2600000016</v>
      </c>
      <c r="I18" s="491"/>
    </row>
    <row r="19" spans="1:9" ht="14.25">
      <c r="A19" s="18" t="s">
        <v>98</v>
      </c>
      <c r="B19" s="145">
        <f>'[8]Earned Incurred QTD-p5'!D36</f>
        <v>19861.65</v>
      </c>
      <c r="C19" s="491"/>
      <c r="D19" s="145">
        <f>'[8]Earned Incurred YTD-p6'!D36</f>
        <v>77491.65</v>
      </c>
      <c r="E19" s="491"/>
      <c r="F19" s="145">
        <f>+'[7]Income Statement (pg 2)'!$B$19</f>
        <v>11580</v>
      </c>
      <c r="G19" s="491"/>
      <c r="H19" s="145">
        <f>+'[7]Income Statement (pg 2)'!$D$19</f>
        <v>32840.51</v>
      </c>
      <c r="I19" s="491"/>
    </row>
    <row r="20" spans="1:9" ht="14.25">
      <c r="A20" s="18" t="s">
        <v>278</v>
      </c>
      <c r="C20" s="490">
        <f>SUM(B15:B19)</f>
        <v>5001651.775000001</v>
      </c>
      <c r="E20" s="490">
        <f>SUM(D15:D19)</f>
        <v>15942018.41</v>
      </c>
      <c r="G20" s="490">
        <f>SUM(F15:F19)</f>
        <v>5352698.659999999</v>
      </c>
      <c r="I20" s="490">
        <f>SUM(H15:H19)</f>
        <v>15982258.320000002</v>
      </c>
    </row>
    <row r="21" spans="3:9" ht="14.25">
      <c r="C21" s="491"/>
      <c r="E21" s="491"/>
      <c r="G21" s="491"/>
      <c r="I21" s="491"/>
    </row>
    <row r="22" spans="1:9" ht="14.25">
      <c r="A22" s="18" t="s">
        <v>382</v>
      </c>
      <c r="C22" s="490">
        <f>C12-C20</f>
        <v>-24602.775000001304</v>
      </c>
      <c r="E22" s="490">
        <f>E12-E20</f>
        <v>-1889670.4100000001</v>
      </c>
      <c r="G22" s="490">
        <f>G12-G20</f>
        <v>-1016526.6599999992</v>
      </c>
      <c r="I22" s="490">
        <f>I12-I20</f>
        <v>-3376412.320000002</v>
      </c>
    </row>
    <row r="23" spans="1:9" ht="15">
      <c r="A23" s="646"/>
      <c r="C23" s="491"/>
      <c r="E23" s="491"/>
      <c r="G23" s="491"/>
      <c r="I23" s="491"/>
    </row>
    <row r="24" spans="1:9" ht="15">
      <c r="A24" s="646" t="s">
        <v>279</v>
      </c>
      <c r="C24" s="491"/>
      <c r="E24" s="491"/>
      <c r="G24" s="491"/>
      <c r="I24" s="491"/>
    </row>
    <row r="25" spans="1:9" ht="14.25">
      <c r="A25" s="18" t="s">
        <v>280</v>
      </c>
      <c r="C25" s="491">
        <f>'[8]Earned Incurred QTD-p5'!D52</f>
        <v>26859.149999999994</v>
      </c>
      <c r="E25" s="491">
        <f>'[8]Earned Incurred YTD-p6'!D52</f>
        <v>88395.67</v>
      </c>
      <c r="G25" s="491">
        <f>+'[7]Income Statement (pg 2)'!$C$25</f>
        <v>52310.600000000006</v>
      </c>
      <c r="I25" s="491">
        <f>+'[7]Income Statement (pg 2)'!$E$25</f>
        <v>170480.6</v>
      </c>
    </row>
    <row r="26" spans="3:9" ht="14.25">
      <c r="C26" s="491"/>
      <c r="E26" s="491"/>
      <c r="G26" s="491"/>
      <c r="I26" s="491"/>
    </row>
    <row r="27" spans="1:9" ht="15" thickBot="1">
      <c r="A27" s="18" t="s">
        <v>383</v>
      </c>
      <c r="C27" s="492">
        <f>C22+C25</f>
        <v>2256.3749999986903</v>
      </c>
      <c r="E27" s="492">
        <f>E22+E25</f>
        <v>-1801274.7400000002</v>
      </c>
      <c r="G27" s="492">
        <f>G22+G25</f>
        <v>-964216.0599999992</v>
      </c>
      <c r="I27" s="492">
        <f>I22+I25</f>
        <v>-3205931.720000002</v>
      </c>
    </row>
    <row r="28" spans="1:9" ht="15">
      <c r="A28" s="646"/>
      <c r="C28" s="650"/>
      <c r="E28" s="491"/>
      <c r="G28" s="650"/>
      <c r="I28" s="491"/>
    </row>
    <row r="29" spans="1:9" ht="15">
      <c r="A29" s="646" t="s">
        <v>267</v>
      </c>
      <c r="C29" s="491"/>
      <c r="E29" s="491"/>
      <c r="G29" s="491"/>
      <c r="I29" s="491"/>
    </row>
    <row r="30" spans="1:9" ht="14.25">
      <c r="A30" s="18" t="s">
        <v>281</v>
      </c>
      <c r="C30" s="491">
        <f>'[9]Balance Sheet-p1'!$E$45</f>
        <v>-11338276.419999996</v>
      </c>
      <c r="E30" s="491">
        <f>'[9]Income Statement-p2'!$E$30</f>
        <v>-9552178.5</v>
      </c>
      <c r="G30" s="491">
        <f>+'[7]Income Statement (pg 2)'!$C$30</f>
        <v>-7427828.95</v>
      </c>
      <c r="I30" s="491">
        <v>-5217179.38</v>
      </c>
    </row>
    <row r="31" spans="1:9" ht="14.25">
      <c r="A31" s="18" t="s">
        <v>384</v>
      </c>
      <c r="B31" s="127">
        <f>C27</f>
        <v>2256.3749999986903</v>
      </c>
      <c r="C31" s="491"/>
      <c r="D31" s="127">
        <f>+'[8]Earned Incurred YTD-p6'!D54</f>
        <v>-1801274.7400000002</v>
      </c>
      <c r="E31" s="491"/>
      <c r="F31" s="127">
        <f>G27</f>
        <v>-964216.0599999992</v>
      </c>
      <c r="G31" s="491"/>
      <c r="H31" s="127">
        <f>I27</f>
        <v>-3205931.720000002</v>
      </c>
      <c r="I31" s="491"/>
    </row>
    <row r="32" spans="1:9" ht="14.25" customHeight="1">
      <c r="A32" s="18" t="s">
        <v>282</v>
      </c>
      <c r="B32" s="145">
        <v>15024.93</v>
      </c>
      <c r="D32" s="127">
        <v>32458.12</v>
      </c>
      <c r="E32" s="491"/>
      <c r="F32" s="493">
        <f>+'[7]Income Statement (pg 2)'!$B$32</f>
        <v>16655</v>
      </c>
      <c r="G32" s="491"/>
      <c r="H32" s="127">
        <f>+'[7]Income Statement (pg 2)'!$D$32</f>
        <v>-287408.34</v>
      </c>
      <c r="I32" s="491"/>
    </row>
    <row r="33" spans="1:9" ht="14.25">
      <c r="A33" s="18" t="s">
        <v>70</v>
      </c>
      <c r="B33" s="127">
        <v>0</v>
      </c>
      <c r="D33" s="127">
        <f>-40790-4979.98-26-1710</f>
        <v>-47505.979999999996</v>
      </c>
      <c r="E33" s="491"/>
      <c r="F33" s="127">
        <v>0</v>
      </c>
      <c r="H33" s="494">
        <f>+'[7]Income Statement (pg 2)'!$D$33</f>
        <v>-25.57</v>
      </c>
      <c r="I33" s="491"/>
    </row>
    <row r="34" spans="1:9" ht="14.25">
      <c r="A34" s="18" t="s">
        <v>71</v>
      </c>
      <c r="B34" s="145">
        <v>0</v>
      </c>
      <c r="C34" s="491"/>
      <c r="D34" s="145">
        <v>0</v>
      </c>
      <c r="E34" s="491"/>
      <c r="F34" s="145" t="e">
        <f>+'[10]TB09-30-02(Final)'!I931</f>
        <v>#REF!</v>
      </c>
      <c r="G34" s="491"/>
      <c r="H34" s="145">
        <f>+'[7]Income Statement (pg 2)'!$D$34</f>
        <v>335155</v>
      </c>
      <c r="I34" s="491"/>
    </row>
    <row r="35" spans="1:9" ht="14.25">
      <c r="A35" s="18" t="s">
        <v>283</v>
      </c>
      <c r="C35" s="491">
        <f>SUM(B31:B32)</f>
        <v>17281.30499999869</v>
      </c>
      <c r="E35" s="491">
        <f>SUM(D31:D32)</f>
        <v>-1768816.62</v>
      </c>
      <c r="G35" s="491">
        <f>SUM(F31:F32)</f>
        <v>-947561.0599999992</v>
      </c>
      <c r="I35" s="491">
        <f>SUM(H31:H34)</f>
        <v>-3158210.6300000018</v>
      </c>
    </row>
    <row r="36" spans="3:9" ht="14.25">
      <c r="C36" s="491"/>
      <c r="E36" s="491"/>
      <c r="G36" s="491"/>
      <c r="I36" s="491"/>
    </row>
    <row r="37" spans="1:9" ht="15.75" thickBot="1">
      <c r="A37" s="117" t="s">
        <v>226</v>
      </c>
      <c r="C37" s="567">
        <f>C30+C35</f>
        <v>-11320995.114999998</v>
      </c>
      <c r="D37" s="495"/>
      <c r="E37" s="567">
        <f>E30+E35</f>
        <v>-11320995.120000001</v>
      </c>
      <c r="G37" s="567">
        <f>G30+G35</f>
        <v>-8375390.01</v>
      </c>
      <c r="H37" s="495"/>
      <c r="I37" s="567">
        <f>I30+I35</f>
        <v>-8375390.010000002</v>
      </c>
    </row>
    <row r="38" spans="2:9" s="14" customFormat="1" ht="15" thickTop="1">
      <c r="B38" s="256"/>
      <c r="C38" s="256"/>
      <c r="D38" s="349"/>
      <c r="E38" s="256"/>
      <c r="F38" s="127"/>
      <c r="G38" s="127"/>
      <c r="H38" s="127"/>
      <c r="I38" s="127"/>
    </row>
    <row r="40" ht="14.25">
      <c r="C40" s="349"/>
    </row>
  </sheetData>
  <mergeCells count="4">
    <mergeCell ref="A1:I1"/>
    <mergeCell ref="A2:E2"/>
    <mergeCell ref="A3:I3"/>
    <mergeCell ref="A4:I4"/>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V64"/>
  <sheetViews>
    <sheetView zoomScale="75" zoomScaleNormal="75" workbookViewId="0" topLeftCell="E21">
      <selection activeCell="J49" sqref="J49"/>
    </sheetView>
  </sheetViews>
  <sheetFormatPr defaultColWidth="9.140625" defaultRowHeight="12.75"/>
  <cols>
    <col min="1" max="1" width="32.8515625" style="2" customWidth="1"/>
    <col min="2" max="2" width="17.140625" style="2" customWidth="1"/>
    <col min="3" max="3" width="17.7109375" style="2" customWidth="1"/>
    <col min="4" max="5" width="17.421875" style="2" customWidth="1"/>
    <col min="6" max="6" width="18.28125" style="2" customWidth="1"/>
    <col min="7" max="7" width="17.00390625" style="2" customWidth="1"/>
    <col min="8" max="8" width="15.8515625" style="595" customWidth="1"/>
    <col min="9" max="9" width="11.421875" style="2" bestFit="1" customWidth="1"/>
    <col min="10" max="16384" width="9.140625" style="2" customWidth="1"/>
  </cols>
  <sheetData>
    <row r="1" spans="1:8" s="257" customFormat="1" ht="25.5">
      <c r="A1" s="438" t="s">
        <v>251</v>
      </c>
      <c r="B1" s="438"/>
      <c r="C1" s="438"/>
      <c r="D1" s="438"/>
      <c r="E1" s="438"/>
      <c r="F1" s="438"/>
      <c r="G1" s="439"/>
      <c r="H1" s="592"/>
    </row>
    <row r="2" spans="1:8" s="98" customFormat="1" ht="18" customHeight="1">
      <c r="A2" s="440"/>
      <c r="B2" s="441"/>
      <c r="C2" s="441"/>
      <c r="D2" s="441"/>
      <c r="E2" s="441"/>
      <c r="F2" s="441"/>
      <c r="G2" s="442"/>
      <c r="H2" s="593"/>
    </row>
    <row r="3" spans="1:8" s="98" customFormat="1" ht="18" customHeight="1">
      <c r="A3" s="443" t="s">
        <v>374</v>
      </c>
      <c r="B3" s="443"/>
      <c r="C3" s="443"/>
      <c r="D3" s="443"/>
      <c r="E3" s="443"/>
      <c r="F3" s="443"/>
      <c r="G3" s="442"/>
      <c r="H3" s="593"/>
    </row>
    <row r="4" spans="1:8" s="14" customFormat="1" ht="15">
      <c r="A4" s="443" t="str">
        <f>+'(8)Earned Incurred YTD6'!A5:D5</f>
        <v>YTD PERIOD MARCH 31st, 2004</v>
      </c>
      <c r="B4" s="443"/>
      <c r="C4" s="443"/>
      <c r="D4" s="443"/>
      <c r="E4" s="443"/>
      <c r="F4" s="443"/>
      <c r="G4" s="442"/>
      <c r="H4" s="594"/>
    </row>
    <row r="5" spans="1:8" s="14" customFormat="1" ht="15">
      <c r="A5" s="443"/>
      <c r="B5" s="443"/>
      <c r="C5" s="443"/>
      <c r="D5" s="443"/>
      <c r="E5" s="443"/>
      <c r="F5" s="443"/>
      <c r="G5" s="442"/>
      <c r="H5" s="594"/>
    </row>
    <row r="6" spans="1:8" s="14" customFormat="1" ht="15.75">
      <c r="A6" s="444"/>
      <c r="B6" s="444"/>
      <c r="C6" s="444"/>
      <c r="D6" s="444"/>
      <c r="E6" s="444"/>
      <c r="F6" s="444"/>
      <c r="G6" s="444"/>
      <c r="H6" s="594"/>
    </row>
    <row r="7" spans="1:8" s="14" customFormat="1" ht="30">
      <c r="A7" s="445"/>
      <c r="B7" s="446" t="s">
        <v>42</v>
      </c>
      <c r="C7" s="446" t="s">
        <v>46</v>
      </c>
      <c r="D7" s="446" t="s">
        <v>142</v>
      </c>
      <c r="E7" s="446" t="s">
        <v>213</v>
      </c>
      <c r="F7" s="446" t="s">
        <v>97</v>
      </c>
      <c r="G7" s="447" t="s">
        <v>252</v>
      </c>
      <c r="H7" s="594"/>
    </row>
    <row r="8" spans="1:7" ht="15.75">
      <c r="A8" s="448" t="s">
        <v>375</v>
      </c>
      <c r="B8" s="449"/>
      <c r="C8" s="449"/>
      <c r="D8" s="449"/>
      <c r="E8" s="449"/>
      <c r="F8" s="449"/>
      <c r="G8" s="449"/>
    </row>
    <row r="9" spans="1:8" s="99" customFormat="1" ht="15">
      <c r="A9" s="449" t="s">
        <v>443</v>
      </c>
      <c r="B9" s="474">
        <f>-SUM('[1]TB03-31-04(Final)'!F297)</f>
        <v>91475</v>
      </c>
      <c r="C9" s="474">
        <f>-SUM('[1]TB03-31-04(Final)'!F296)</f>
        <v>-3288</v>
      </c>
      <c r="D9" s="474">
        <f>-SUM('[1]TB03-31-04(Final)'!F295)</f>
        <v>0</v>
      </c>
      <c r="E9" s="558">
        <f>-SUM('[1]TB03-31-04(Final)'!F294)</f>
        <v>0</v>
      </c>
      <c r="F9" s="126">
        <f>-SUM('[1]TB03-31-04(Final)'!F293)</f>
        <v>0</v>
      </c>
      <c r="G9" s="553">
        <f>SUM(B9:F9)</f>
        <v>88187</v>
      </c>
      <c r="H9" s="596"/>
    </row>
    <row r="10" spans="1:8" ht="15.75">
      <c r="A10" s="449" t="s">
        <v>389</v>
      </c>
      <c r="B10" s="126">
        <f>-SUM('[1]TB03-31-04(Final)'!F306)</f>
        <v>27184</v>
      </c>
      <c r="C10" s="126">
        <f>-SUM('[1]TB03-31-04(Final)'!F305)</f>
        <v>-791</v>
      </c>
      <c r="D10" s="126">
        <f>-SUM('[1]TB03-31-04(Final)'!F304)</f>
        <v>0</v>
      </c>
      <c r="E10" s="126">
        <f>-SUM('[1]TB03-31-04(Final)'!F303)</f>
        <v>0</v>
      </c>
      <c r="F10" s="126">
        <f>-SUM('[1]TB03-31-04(Final)'!F302)</f>
        <v>0</v>
      </c>
      <c r="G10" s="556">
        <f>SUM(B10:F10)</f>
        <v>26393</v>
      </c>
      <c r="H10" s="596"/>
    </row>
    <row r="11" spans="1:22" ht="15.75">
      <c r="A11" s="449" t="s">
        <v>390</v>
      </c>
      <c r="B11" s="126">
        <f>-'[1]TB03-31-04(Final)'!F315</f>
        <v>-19</v>
      </c>
      <c r="C11" s="126">
        <f>-'[1]TB03-31-04(Final)'!F314</f>
        <v>1</v>
      </c>
      <c r="D11" s="126">
        <v>0</v>
      </c>
      <c r="E11" s="126" t="e">
        <f>-'[1]TB03-31-04(Final)'!F310</f>
        <v>#REF!</v>
      </c>
      <c r="F11" s="126" t="e">
        <f>-'[1]TB03-31-04(Final)'!F311</f>
        <v>#REF!</v>
      </c>
      <c r="G11" s="559" t="e">
        <f>SUM(B11:F11)</f>
        <v>#REF!</v>
      </c>
      <c r="H11" s="596"/>
      <c r="I11" s="100"/>
      <c r="J11" s="100"/>
      <c r="K11" s="100"/>
      <c r="L11" s="100"/>
      <c r="M11" s="100"/>
      <c r="N11" s="100"/>
      <c r="O11" s="100"/>
      <c r="P11" s="100"/>
      <c r="Q11" s="100"/>
      <c r="R11" s="100"/>
      <c r="S11" s="100"/>
      <c r="T11" s="100"/>
      <c r="U11" s="100"/>
      <c r="V11" s="100"/>
    </row>
    <row r="12" spans="1:22" s="4" customFormat="1" ht="16.5" thickBot="1">
      <c r="A12" s="450" t="s">
        <v>379</v>
      </c>
      <c r="B12" s="138">
        <f aca="true" t="shared" si="0" ref="B12:G12">SUM(B9:B11)</f>
        <v>118640</v>
      </c>
      <c r="C12" s="138">
        <f t="shared" si="0"/>
        <v>-4078</v>
      </c>
      <c r="D12" s="138">
        <f t="shared" si="0"/>
        <v>0</v>
      </c>
      <c r="E12" s="138" t="e">
        <f t="shared" si="0"/>
        <v>#REF!</v>
      </c>
      <c r="F12" s="138" t="e">
        <f t="shared" si="0"/>
        <v>#REF!</v>
      </c>
      <c r="G12" s="557" t="e">
        <f t="shared" si="0"/>
        <v>#REF!</v>
      </c>
      <c r="H12" s="301"/>
      <c r="I12" s="88"/>
      <c r="J12" s="88"/>
      <c r="K12" s="88"/>
      <c r="L12" s="88"/>
      <c r="M12" s="88"/>
      <c r="N12" s="88"/>
      <c r="O12" s="88"/>
      <c r="P12" s="88"/>
      <c r="Q12" s="88"/>
      <c r="R12" s="88"/>
      <c r="S12" s="88"/>
      <c r="T12" s="88"/>
      <c r="U12" s="88"/>
      <c r="V12" s="88"/>
    </row>
    <row r="13" spans="1:22" s="4" customFormat="1" ht="16.5" thickTop="1">
      <c r="A13" s="449"/>
      <c r="B13" s="126"/>
      <c r="C13" s="126"/>
      <c r="D13" s="126"/>
      <c r="E13" s="126"/>
      <c r="F13" s="126"/>
      <c r="G13" s="172"/>
      <c r="H13" s="254">
        <f>+'[1]TB03-31-04(Final)'!G317</f>
        <v>-5676242</v>
      </c>
      <c r="I13" s="101" t="e">
        <f>SUM(G9:G11)</f>
        <v>#REF!</v>
      </c>
      <c r="J13" s="88"/>
      <c r="K13" s="88"/>
      <c r="L13" s="88"/>
      <c r="M13" s="88"/>
      <c r="N13" s="88"/>
      <c r="O13" s="88"/>
      <c r="P13" s="88"/>
      <c r="Q13" s="88"/>
      <c r="R13" s="88"/>
      <c r="S13" s="88"/>
      <c r="T13" s="88"/>
      <c r="U13" s="88"/>
      <c r="V13" s="88"/>
    </row>
    <row r="14" spans="1:22" s="4" customFormat="1" ht="45">
      <c r="A14" s="448" t="s">
        <v>170</v>
      </c>
      <c r="B14" s="560"/>
      <c r="C14" s="560"/>
      <c r="D14" s="560"/>
      <c r="E14" s="560"/>
      <c r="F14" s="126"/>
      <c r="G14" s="126"/>
      <c r="H14" s="597"/>
      <c r="I14" s="88"/>
      <c r="J14" s="88"/>
      <c r="K14" s="88"/>
      <c r="L14" s="88"/>
      <c r="M14" s="88"/>
      <c r="N14" s="88"/>
      <c r="O14" s="88"/>
      <c r="P14" s="88"/>
      <c r="Q14" s="88"/>
      <c r="R14" s="88"/>
      <c r="S14" s="88"/>
      <c r="T14" s="88"/>
      <c r="U14" s="88"/>
      <c r="V14" s="88"/>
    </row>
    <row r="15" spans="1:22" s="4" customFormat="1" ht="15.75">
      <c r="A15" s="449" t="s">
        <v>443</v>
      </c>
      <c r="B15" s="126">
        <f>-'[1]TB03-31-04(Final)'!F51</f>
        <v>4674519</v>
      </c>
      <c r="C15" s="126">
        <f>-'[1]TB03-31-04(Final)'!F50</f>
        <v>0</v>
      </c>
      <c r="D15" s="126">
        <f>-'[1]TB03-31-04(Final)'!F49</f>
        <v>0</v>
      </c>
      <c r="E15" s="126" t="e">
        <f>-'[1]TB03-31-04(Final)'!F48</f>
        <v>#REF!</v>
      </c>
      <c r="F15" s="126">
        <v>0</v>
      </c>
      <c r="G15" s="556" t="e">
        <f>SUM(B15:F15)</f>
        <v>#REF!</v>
      </c>
      <c r="H15" s="301"/>
      <c r="I15" s="88"/>
      <c r="J15" s="88"/>
      <c r="K15" s="88"/>
      <c r="L15" s="88"/>
      <c r="M15" s="88"/>
      <c r="N15" s="88"/>
      <c r="O15" s="88"/>
      <c r="P15" s="88"/>
      <c r="Q15" s="88"/>
      <c r="R15" s="88"/>
      <c r="S15" s="88"/>
      <c r="T15" s="88"/>
      <c r="U15" s="88"/>
      <c r="V15" s="88"/>
    </row>
    <row r="16" spans="1:22" s="4" customFormat="1" ht="16.5" customHeight="1">
      <c r="A16" s="449" t="s">
        <v>389</v>
      </c>
      <c r="B16" s="126">
        <f>-'[1]TB03-31-04(Final)'!F57</f>
        <v>1490507</v>
      </c>
      <c r="C16" s="126">
        <f>-'[1]TB03-31-04(Final)'!F56</f>
        <v>0</v>
      </c>
      <c r="D16" s="126">
        <f>-'[1]TB03-31-04(Final)'!F55</f>
        <v>0</v>
      </c>
      <c r="E16" s="126" t="e">
        <f>-'[1]TB03-31-04(Final)'!F54</f>
        <v>#REF!</v>
      </c>
      <c r="F16" s="126" t="e">
        <f>-'[1]TB03-31-04(Final)'!F53</f>
        <v>#REF!</v>
      </c>
      <c r="G16" s="556" t="e">
        <f>SUM(B16:F16)</f>
        <v>#REF!</v>
      </c>
      <c r="H16" s="301"/>
      <c r="I16" s="88"/>
      <c r="J16" s="88"/>
      <c r="K16" s="88"/>
      <c r="L16" s="88"/>
      <c r="M16" s="88"/>
      <c r="N16" s="88"/>
      <c r="O16" s="88"/>
      <c r="P16" s="88"/>
      <c r="Q16" s="88"/>
      <c r="R16" s="88"/>
      <c r="S16" s="88"/>
      <c r="T16" s="88"/>
      <c r="U16" s="88"/>
      <c r="V16" s="88"/>
    </row>
    <row r="17" spans="1:22" s="4" customFormat="1" ht="15.75">
      <c r="A17" s="449" t="s">
        <v>390</v>
      </c>
      <c r="B17" s="126">
        <f>-'[1]TB03-31-04(Final)'!F63</f>
        <v>19657</v>
      </c>
      <c r="C17" s="126">
        <f>-'[1]TB03-31-04(Final)'!F62</f>
        <v>0</v>
      </c>
      <c r="D17" s="126">
        <f>-'[1]TB03-31-04(Final)'!F61</f>
        <v>0</v>
      </c>
      <c r="E17" s="126" t="e">
        <f>-'[1]TB03-31-04(Final)'!F60</f>
        <v>#REF!</v>
      </c>
      <c r="F17" s="126" t="e">
        <f>-'[1]TB03-31-04(Final)'!F59</f>
        <v>#REF!</v>
      </c>
      <c r="G17" s="556" t="e">
        <f>SUM(B17:F17)</f>
        <v>#REF!</v>
      </c>
      <c r="H17" s="301"/>
      <c r="I17" s="88"/>
      <c r="J17" s="88"/>
      <c r="K17" s="88"/>
      <c r="L17" s="88"/>
      <c r="M17" s="88"/>
      <c r="N17" s="88"/>
      <c r="O17" s="88"/>
      <c r="P17" s="88"/>
      <c r="Q17" s="88"/>
      <c r="R17" s="88"/>
      <c r="S17" s="88"/>
      <c r="T17" s="88"/>
      <c r="U17" s="88"/>
      <c r="V17" s="88"/>
    </row>
    <row r="18" spans="1:22" s="4" customFormat="1" ht="16.5" thickBot="1">
      <c r="A18" s="450" t="s">
        <v>379</v>
      </c>
      <c r="B18" s="138">
        <f aca="true" t="shared" si="1" ref="B18:G18">SUM(B15:B17)</f>
        <v>6184683</v>
      </c>
      <c r="C18" s="138">
        <f t="shared" si="1"/>
        <v>0</v>
      </c>
      <c r="D18" s="138">
        <f t="shared" si="1"/>
        <v>0</v>
      </c>
      <c r="E18" s="138" t="e">
        <f t="shared" si="1"/>
        <v>#REF!</v>
      </c>
      <c r="F18" s="138" t="e">
        <f t="shared" si="1"/>
        <v>#REF!</v>
      </c>
      <c r="G18" s="557" t="e">
        <f t="shared" si="1"/>
        <v>#REF!</v>
      </c>
      <c r="H18" s="301" t="e">
        <f>SUM(G15:G17)</f>
        <v>#REF!</v>
      </c>
      <c r="I18" s="88"/>
      <c r="J18" s="88"/>
      <c r="K18" s="88"/>
      <c r="L18" s="88"/>
      <c r="M18" s="88"/>
      <c r="N18" s="88"/>
      <c r="O18" s="88"/>
      <c r="P18" s="88"/>
      <c r="Q18" s="88"/>
      <c r="R18" s="88"/>
      <c r="S18" s="88"/>
      <c r="T18" s="88"/>
      <c r="U18" s="88"/>
      <c r="V18" s="88"/>
    </row>
    <row r="19" spans="1:22" s="4" customFormat="1" ht="16.5" thickTop="1">
      <c r="A19" s="449"/>
      <c r="B19" s="126"/>
      <c r="C19" s="126"/>
      <c r="D19" s="126"/>
      <c r="E19" s="126"/>
      <c r="F19" s="126"/>
      <c r="G19" s="312"/>
      <c r="H19" s="254" t="e">
        <f>+'[1]TB03-31-04(Final)'!G63</f>
        <v>#REF!</v>
      </c>
      <c r="I19" s="88"/>
      <c r="J19" s="88"/>
      <c r="K19" s="88"/>
      <c r="L19" s="88"/>
      <c r="M19" s="88"/>
      <c r="N19" s="88"/>
      <c r="O19" s="88"/>
      <c r="P19" s="88"/>
      <c r="Q19" s="88"/>
      <c r="R19" s="88"/>
      <c r="S19" s="88"/>
      <c r="T19" s="88"/>
      <c r="U19" s="88"/>
      <c r="V19" s="88"/>
    </row>
    <row r="20" spans="1:22" s="4" customFormat="1" ht="45">
      <c r="A20" s="448" t="s">
        <v>203</v>
      </c>
      <c r="B20" s="126"/>
      <c r="C20" s="126"/>
      <c r="D20" s="126"/>
      <c r="E20" s="126"/>
      <c r="F20" s="126"/>
      <c r="G20" s="126"/>
      <c r="H20" s="301"/>
      <c r="I20" s="88"/>
      <c r="J20" s="88"/>
      <c r="K20" s="88"/>
      <c r="L20" s="88"/>
      <c r="M20" s="88"/>
      <c r="N20" s="88"/>
      <c r="O20" s="88"/>
      <c r="P20" s="88"/>
      <c r="Q20" s="88"/>
      <c r="R20" s="88"/>
      <c r="S20" s="88"/>
      <c r="T20" s="88"/>
      <c r="U20" s="88"/>
      <c r="V20" s="88"/>
    </row>
    <row r="21" spans="1:22" s="4" customFormat="1" ht="15.75">
      <c r="A21" s="449" t="s">
        <v>443</v>
      </c>
      <c r="B21" s="126">
        <v>0</v>
      </c>
      <c r="C21" s="126">
        <v>6494180</v>
      </c>
      <c r="D21" s="126">
        <v>0</v>
      </c>
      <c r="E21" s="126">
        <v>0</v>
      </c>
      <c r="F21" s="126">
        <v>0</v>
      </c>
      <c r="G21" s="556">
        <f>SUM(B21:F21)</f>
        <v>6494180</v>
      </c>
      <c r="H21" s="301"/>
      <c r="I21" s="88"/>
      <c r="J21" s="88"/>
      <c r="K21" s="88"/>
      <c r="L21" s="88"/>
      <c r="M21" s="88"/>
      <c r="N21" s="88"/>
      <c r="O21" s="88"/>
      <c r="P21" s="88"/>
      <c r="Q21" s="88"/>
      <c r="R21" s="88"/>
      <c r="S21" s="88"/>
      <c r="T21" s="88"/>
      <c r="U21" s="88"/>
      <c r="V21" s="88"/>
    </row>
    <row r="22" spans="1:22" s="4" customFormat="1" ht="15.75">
      <c r="A22" s="449" t="s">
        <v>389</v>
      </c>
      <c r="B22" s="126">
        <v>0</v>
      </c>
      <c r="C22" s="126">
        <v>2362142</v>
      </c>
      <c r="D22" s="126">
        <v>0</v>
      </c>
      <c r="E22" s="126">
        <v>0</v>
      </c>
      <c r="F22" s="126">
        <v>0</v>
      </c>
      <c r="G22" s="556">
        <f>SUM(B22:F22)</f>
        <v>2362142</v>
      </c>
      <c r="H22" s="301"/>
      <c r="I22" s="88"/>
      <c r="J22" s="88"/>
      <c r="K22" s="88"/>
      <c r="L22" s="88"/>
      <c r="M22" s="88"/>
      <c r="N22" s="88"/>
      <c r="O22" s="88"/>
      <c r="P22" s="88"/>
      <c r="Q22" s="88"/>
      <c r="R22" s="88"/>
      <c r="S22" s="88"/>
      <c r="T22" s="88"/>
      <c r="U22" s="88"/>
      <c r="V22" s="88"/>
    </row>
    <row r="23" spans="1:22" s="4" customFormat="1" ht="15.75">
      <c r="A23" s="449" t="s">
        <v>390</v>
      </c>
      <c r="B23" s="126">
        <v>0</v>
      </c>
      <c r="C23" s="126">
        <v>40804</v>
      </c>
      <c r="D23" s="126">
        <v>0</v>
      </c>
      <c r="E23" s="126">
        <v>0</v>
      </c>
      <c r="F23" s="126">
        <v>0</v>
      </c>
      <c r="G23" s="556">
        <f>SUM(B23:F23)</f>
        <v>40804</v>
      </c>
      <c r="H23" s="301"/>
      <c r="I23" s="88"/>
      <c r="J23" s="88"/>
      <c r="K23" s="88"/>
      <c r="L23" s="88"/>
      <c r="M23" s="88"/>
      <c r="N23" s="88"/>
      <c r="O23" s="88"/>
      <c r="P23" s="88"/>
      <c r="Q23" s="88"/>
      <c r="R23" s="88"/>
      <c r="S23" s="88"/>
      <c r="T23" s="88"/>
      <c r="U23" s="88"/>
      <c r="V23" s="88"/>
    </row>
    <row r="24" spans="1:22" s="4" customFormat="1" ht="16.5" thickBot="1">
      <c r="A24" s="450" t="s">
        <v>379</v>
      </c>
      <c r="B24" s="138">
        <f aca="true" t="shared" si="2" ref="B24:G24">SUM(B21:B23)</f>
        <v>0</v>
      </c>
      <c r="C24" s="138">
        <f t="shared" si="2"/>
        <v>8897126</v>
      </c>
      <c r="D24" s="138">
        <f t="shared" si="2"/>
        <v>0</v>
      </c>
      <c r="E24" s="138">
        <f t="shared" si="2"/>
        <v>0</v>
      </c>
      <c r="F24" s="138">
        <f t="shared" si="2"/>
        <v>0</v>
      </c>
      <c r="G24" s="557">
        <f t="shared" si="2"/>
        <v>8897126</v>
      </c>
      <c r="H24" s="301" t="e">
        <f>+G24-G18</f>
        <v>#REF!</v>
      </c>
      <c r="I24" s="88"/>
      <c r="J24" s="88"/>
      <c r="K24" s="88"/>
      <c r="L24" s="88"/>
      <c r="M24" s="88"/>
      <c r="N24" s="88"/>
      <c r="O24" s="88"/>
      <c r="P24" s="88"/>
      <c r="Q24" s="88"/>
      <c r="R24" s="88"/>
      <c r="S24" s="88"/>
      <c r="T24" s="88"/>
      <c r="U24" s="88"/>
      <c r="V24" s="88"/>
    </row>
    <row r="25" spans="1:22" s="4" customFormat="1" ht="16.5" thickTop="1">
      <c r="A25" s="449"/>
      <c r="B25" s="126"/>
      <c r="C25" s="126"/>
      <c r="D25" s="126"/>
      <c r="E25" s="126"/>
      <c r="F25" s="126"/>
      <c r="G25" s="172"/>
      <c r="H25" s="101" t="e">
        <f>+H18-H24</f>
        <v>#REF!</v>
      </c>
      <c r="I25" s="88"/>
      <c r="J25" s="88"/>
      <c r="K25" s="88"/>
      <c r="L25" s="88"/>
      <c r="M25" s="88"/>
      <c r="N25" s="88"/>
      <c r="O25" s="88"/>
      <c r="P25" s="88"/>
      <c r="Q25" s="88"/>
      <c r="R25" s="88"/>
      <c r="S25" s="88"/>
      <c r="T25" s="88"/>
      <c r="U25" s="88"/>
      <c r="V25" s="88"/>
    </row>
    <row r="26" spans="1:22" s="4" customFormat="1" ht="15.75">
      <c r="A26" s="448" t="s">
        <v>380</v>
      </c>
      <c r="B26" s="126"/>
      <c r="C26" s="126"/>
      <c r="D26" s="126"/>
      <c r="E26" s="126"/>
      <c r="F26" s="126"/>
      <c r="G26" s="126"/>
      <c r="H26" s="301"/>
      <c r="I26" s="88"/>
      <c r="J26" s="88"/>
      <c r="K26" s="88"/>
      <c r="L26" s="88"/>
      <c r="M26" s="88"/>
      <c r="N26" s="88"/>
      <c r="O26" s="88"/>
      <c r="P26" s="88"/>
      <c r="Q26" s="88"/>
      <c r="R26" s="88"/>
      <c r="S26" s="88"/>
      <c r="T26" s="88"/>
      <c r="U26" s="88"/>
      <c r="V26" s="88"/>
    </row>
    <row r="27" spans="1:22" s="4" customFormat="1" ht="15.75">
      <c r="A27" s="449" t="s">
        <v>401</v>
      </c>
      <c r="B27" s="487">
        <f aca="true" t="shared" si="3" ref="B27:D29">B9-(B15-B21)</f>
        <v>-4583044</v>
      </c>
      <c r="C27" s="487">
        <f>C9-(C15-C21)</f>
        <v>6490892</v>
      </c>
      <c r="D27" s="487">
        <f t="shared" si="3"/>
        <v>0</v>
      </c>
      <c r="E27" s="126" t="e">
        <f aca="true" t="shared" si="4" ref="E27:F29">E9-(E15-E21)</f>
        <v>#REF!</v>
      </c>
      <c r="F27" s="487">
        <f t="shared" si="4"/>
        <v>0</v>
      </c>
      <c r="G27" s="556" t="e">
        <f>SUM(B27:F27)</f>
        <v>#REF!</v>
      </c>
      <c r="H27" s="301"/>
      <c r="I27" s="88"/>
      <c r="J27" s="88"/>
      <c r="K27" s="88"/>
      <c r="L27" s="88"/>
      <c r="M27" s="88"/>
      <c r="N27" s="88"/>
      <c r="O27" s="88"/>
      <c r="P27" s="88"/>
      <c r="Q27" s="88"/>
      <c r="R27" s="88"/>
      <c r="S27" s="88"/>
      <c r="T27" s="88"/>
      <c r="U27" s="88"/>
      <c r="V27" s="88"/>
    </row>
    <row r="28" spans="1:22" s="4" customFormat="1" ht="15.75">
      <c r="A28" s="449" t="s">
        <v>13</v>
      </c>
      <c r="B28" s="487">
        <f t="shared" si="3"/>
        <v>-1463323</v>
      </c>
      <c r="C28" s="487">
        <f>C10-(C16-C22)</f>
        <v>2361351</v>
      </c>
      <c r="D28" s="487">
        <f t="shared" si="3"/>
        <v>0</v>
      </c>
      <c r="E28" s="126" t="e">
        <f t="shared" si="4"/>
        <v>#REF!</v>
      </c>
      <c r="F28" s="487" t="e">
        <f t="shared" si="4"/>
        <v>#REF!</v>
      </c>
      <c r="G28" s="556" t="e">
        <f>SUM(B28:F28)</f>
        <v>#REF!</v>
      </c>
      <c r="H28" s="301"/>
      <c r="I28" s="88"/>
      <c r="J28" s="88"/>
      <c r="K28" s="88"/>
      <c r="L28" s="88"/>
      <c r="M28" s="88"/>
      <c r="N28" s="88"/>
      <c r="O28" s="88"/>
      <c r="P28" s="88"/>
      <c r="Q28" s="88"/>
      <c r="R28" s="88"/>
      <c r="S28" s="88"/>
      <c r="T28" s="88"/>
      <c r="U28" s="88"/>
      <c r="V28" s="88"/>
    </row>
    <row r="29" spans="1:22" s="4" customFormat="1" ht="15.75">
      <c r="A29" s="451" t="s">
        <v>402</v>
      </c>
      <c r="B29" s="487">
        <f t="shared" si="3"/>
        <v>-19676</v>
      </c>
      <c r="C29" s="487">
        <f>C11-(C17-C23)</f>
        <v>40805</v>
      </c>
      <c r="D29" s="487">
        <f t="shared" si="3"/>
        <v>0</v>
      </c>
      <c r="E29" s="126" t="e">
        <f t="shared" si="4"/>
        <v>#REF!</v>
      </c>
      <c r="F29" s="487" t="e">
        <f t="shared" si="4"/>
        <v>#REF!</v>
      </c>
      <c r="G29" s="556" t="e">
        <f>SUM(B29:F29)</f>
        <v>#REF!</v>
      </c>
      <c r="H29" s="301"/>
      <c r="I29" s="88"/>
      <c r="J29" s="88"/>
      <c r="K29" s="88"/>
      <c r="L29" s="88"/>
      <c r="M29" s="88"/>
      <c r="N29" s="88"/>
      <c r="O29" s="88"/>
      <c r="P29" s="88"/>
      <c r="Q29" s="88"/>
      <c r="R29" s="88"/>
      <c r="S29" s="88"/>
      <c r="T29" s="88"/>
      <c r="U29" s="88"/>
      <c r="V29" s="88"/>
    </row>
    <row r="30" spans="1:22" s="4" customFormat="1" ht="16.5" thickBot="1">
      <c r="A30" s="450" t="s">
        <v>379</v>
      </c>
      <c r="B30" s="554">
        <f aca="true" t="shared" si="5" ref="B30:G30">SUM(B27:B29)</f>
        <v>-6066043</v>
      </c>
      <c r="C30" s="554">
        <f t="shared" si="5"/>
        <v>8893048</v>
      </c>
      <c r="D30" s="554">
        <f t="shared" si="5"/>
        <v>0</v>
      </c>
      <c r="E30" s="554" t="e">
        <f t="shared" si="5"/>
        <v>#REF!</v>
      </c>
      <c r="F30" s="561" t="e">
        <f t="shared" si="5"/>
        <v>#REF!</v>
      </c>
      <c r="G30" s="555" t="e">
        <f t="shared" si="5"/>
        <v>#REF!</v>
      </c>
      <c r="H30" s="346">
        <f>+'[1]TB03-31-04(Final)'!G338</f>
        <v>-5376116</v>
      </c>
      <c r="I30" s="88"/>
      <c r="J30" s="88"/>
      <c r="K30" s="88"/>
      <c r="L30" s="88"/>
      <c r="M30" s="88"/>
      <c r="N30" s="88"/>
      <c r="O30" s="88"/>
      <c r="P30" s="88"/>
      <c r="Q30" s="88"/>
      <c r="R30" s="88"/>
      <c r="S30" s="88"/>
      <c r="T30" s="88"/>
      <c r="U30" s="88"/>
      <c r="V30" s="88"/>
    </row>
    <row r="31" spans="2:8" ht="16.5" thickTop="1">
      <c r="B31" s="171"/>
      <c r="C31" s="171"/>
      <c r="H31" s="598" t="e">
        <f>+G30+H30</f>
        <v>#REF!</v>
      </c>
    </row>
    <row r="32" spans="1:8" ht="15.75">
      <c r="A32" s="763"/>
      <c r="B32" s="764"/>
      <c r="C32" s="764"/>
      <c r="D32" s="764"/>
      <c r="E32" s="764"/>
      <c r="F32" s="764"/>
      <c r="G32" s="764"/>
      <c r="H32" s="764"/>
    </row>
    <row r="33" spans="1:8" s="766" customFormat="1" ht="15" customHeight="1">
      <c r="A33" s="950" t="s">
        <v>431</v>
      </c>
      <c r="B33" s="950"/>
      <c r="C33" s="950"/>
      <c r="D33" s="950"/>
      <c r="E33" s="950"/>
      <c r="F33" s="950"/>
      <c r="G33" s="950"/>
      <c r="H33" s="950"/>
    </row>
    <row r="34" spans="1:8" s="766" customFormat="1" ht="12.75">
      <c r="A34" s="950"/>
      <c r="B34" s="950"/>
      <c r="C34" s="950"/>
      <c r="D34" s="950"/>
      <c r="E34" s="950"/>
      <c r="F34" s="950"/>
      <c r="G34" s="950"/>
      <c r="H34" s="950"/>
    </row>
    <row r="35" spans="1:8" s="766" customFormat="1" ht="12.75">
      <c r="A35" s="950"/>
      <c r="B35" s="950"/>
      <c r="C35" s="950"/>
      <c r="D35" s="950"/>
      <c r="E35" s="950"/>
      <c r="F35" s="950"/>
      <c r="G35" s="950"/>
      <c r="H35" s="950"/>
    </row>
    <row r="36" spans="1:8" s="766" customFormat="1" ht="12.75">
      <c r="A36" s="765"/>
      <c r="B36" s="765"/>
      <c r="C36" s="765"/>
      <c r="D36" s="765"/>
      <c r="E36" s="765"/>
      <c r="F36" s="765"/>
      <c r="G36" s="765"/>
      <c r="H36" s="765"/>
    </row>
    <row r="37" spans="2:4" s="766" customFormat="1" ht="12" customHeight="1">
      <c r="B37" s="767"/>
      <c r="C37" s="951" t="s">
        <v>432</v>
      </c>
      <c r="D37" s="951" t="s">
        <v>433</v>
      </c>
    </row>
    <row r="38" spans="2:4" s="766" customFormat="1" ht="12" customHeight="1">
      <c r="B38" s="768" t="s">
        <v>317</v>
      </c>
      <c r="C38" s="951"/>
      <c r="D38" s="951"/>
    </row>
    <row r="39" spans="1:7" s="766" customFormat="1" ht="12" customHeight="1">
      <c r="A39" s="769" t="s">
        <v>434</v>
      </c>
      <c r="B39" s="772">
        <v>478783</v>
      </c>
      <c r="C39" s="772">
        <v>1343200</v>
      </c>
      <c r="D39" s="772">
        <f>B39+C39</f>
        <v>1821983</v>
      </c>
      <c r="E39" s="770"/>
      <c r="F39" s="770"/>
      <c r="G39" s="770"/>
    </row>
    <row r="40" spans="1:7" s="766" customFormat="1" ht="12" customHeight="1">
      <c r="A40" s="769" t="s">
        <v>32</v>
      </c>
      <c r="B40" s="773">
        <v>487924</v>
      </c>
      <c r="C40" s="773">
        <v>1418672</v>
      </c>
      <c r="D40" s="773">
        <f>B40+C40</f>
        <v>1906596</v>
      </c>
      <c r="E40" s="770"/>
      <c r="F40" s="770"/>
      <c r="G40" s="770"/>
    </row>
    <row r="41" spans="1:7" s="766" customFormat="1" ht="12" customHeight="1">
      <c r="A41" s="769" t="s">
        <v>205</v>
      </c>
      <c r="B41" s="773">
        <v>509815</v>
      </c>
      <c r="C41" s="773">
        <v>1518349</v>
      </c>
      <c r="D41" s="773">
        <f>B41+C41</f>
        <v>2028164</v>
      </c>
      <c r="E41" s="770"/>
      <c r="F41" s="770"/>
      <c r="G41" s="770"/>
    </row>
    <row r="42" spans="1:7" s="766" customFormat="1" ht="12" customHeight="1">
      <c r="A42" s="769" t="s">
        <v>2</v>
      </c>
      <c r="B42" s="773">
        <v>508338</v>
      </c>
      <c r="C42" s="773">
        <v>1585267</v>
      </c>
      <c r="D42" s="773">
        <f>B42+C42</f>
        <v>2093605</v>
      </c>
      <c r="E42" s="770"/>
      <c r="F42" s="770"/>
      <c r="G42" s="770"/>
    </row>
    <row r="43" spans="1:7" s="766" customFormat="1" ht="12" customHeight="1" thickBot="1">
      <c r="A43" s="769" t="s">
        <v>61</v>
      </c>
      <c r="B43" s="774">
        <f>SUM(B39:B42)</f>
        <v>1984860</v>
      </c>
      <c r="C43" s="774">
        <f>SUM(C39:C42)</f>
        <v>5865488</v>
      </c>
      <c r="D43" s="774">
        <f>SUM(D39:D42)</f>
        <v>7850348</v>
      </c>
      <c r="E43" s="770"/>
      <c r="F43" s="770"/>
      <c r="G43" s="770"/>
    </row>
    <row r="44" spans="1:7" s="766" customFormat="1" ht="12" customHeight="1" thickTop="1">
      <c r="A44" s="769"/>
      <c r="B44" s="771"/>
      <c r="C44" s="771"/>
      <c r="D44" s="771"/>
      <c r="E44" s="770"/>
      <c r="F44" s="770"/>
      <c r="G44" s="770"/>
    </row>
    <row r="45" spans="1:8" s="766" customFormat="1" ht="12.75">
      <c r="A45" s="950" t="s">
        <v>435</v>
      </c>
      <c r="B45" s="950"/>
      <c r="C45" s="950"/>
      <c r="D45" s="950"/>
      <c r="E45" s="950"/>
      <c r="F45" s="950"/>
      <c r="G45" s="950"/>
      <c r="H45" s="950"/>
    </row>
    <row r="46" spans="1:8" s="766" customFormat="1" ht="12.75">
      <c r="A46" s="950"/>
      <c r="B46" s="950"/>
      <c r="C46" s="950"/>
      <c r="D46" s="950"/>
      <c r="E46" s="950"/>
      <c r="F46" s="950"/>
      <c r="G46" s="950"/>
      <c r="H46" s="950"/>
    </row>
    <row r="47" spans="2:3" ht="15.75">
      <c r="B47" s="171"/>
      <c r="C47" s="171"/>
    </row>
    <row r="48" spans="2:3" ht="15.75">
      <c r="B48" s="171"/>
      <c r="C48" s="171"/>
    </row>
    <row r="49" spans="2:3" ht="15.75">
      <c r="B49" s="171"/>
      <c r="C49" s="171"/>
    </row>
    <row r="50" spans="2:3" ht="15.75">
      <c r="B50" s="171"/>
      <c r="C50" s="171"/>
    </row>
    <row r="51" spans="2:3" ht="15.75">
      <c r="B51" s="171"/>
      <c r="C51" s="171"/>
    </row>
    <row r="52" spans="2:3" ht="15.75">
      <c r="B52" s="171"/>
      <c r="C52" s="171"/>
    </row>
    <row r="53" spans="2:3" ht="15.75">
      <c r="B53" s="171"/>
      <c r="C53" s="171"/>
    </row>
    <row r="54" spans="2:3" ht="15.75">
      <c r="B54" s="171"/>
      <c r="C54" s="171"/>
    </row>
    <row r="55" spans="2:3" ht="15.75">
      <c r="B55" s="171"/>
      <c r="C55" s="171"/>
    </row>
    <row r="56" spans="2:3" ht="15.75">
      <c r="B56" s="171"/>
      <c r="C56" s="171"/>
    </row>
    <row r="57" spans="2:3" ht="15.75">
      <c r="B57" s="171"/>
      <c r="C57" s="171"/>
    </row>
    <row r="58" spans="2:3" ht="15.75">
      <c r="B58" s="171"/>
      <c r="C58" s="171"/>
    </row>
    <row r="59" spans="2:3" ht="15.75">
      <c r="B59" s="171"/>
      <c r="C59" s="171"/>
    </row>
    <row r="60" spans="2:3" ht="15.75">
      <c r="B60" s="171"/>
      <c r="C60" s="171"/>
    </row>
    <row r="61" spans="2:3" ht="15.75">
      <c r="B61" s="171"/>
      <c r="C61" s="171"/>
    </row>
    <row r="62" spans="2:3" ht="15.75">
      <c r="B62" s="171"/>
      <c r="C62" s="171"/>
    </row>
    <row r="63" spans="2:3" ht="15.75">
      <c r="B63" s="171"/>
      <c r="C63" s="171"/>
    </row>
    <row r="64" spans="2:3" ht="15.75">
      <c r="B64" s="171"/>
      <c r="C64" s="171"/>
    </row>
  </sheetData>
  <mergeCells count="4">
    <mergeCell ref="A45:H46"/>
    <mergeCell ref="A33:H35"/>
    <mergeCell ref="C37:C38"/>
    <mergeCell ref="D37:D38"/>
  </mergeCells>
  <printOptions horizontalCentered="1"/>
  <pageMargins left="0.75" right="0.75" top="0.5" bottom="0.5" header="0.5" footer="0.5"/>
  <pageSetup fitToHeight="1" fitToWidth="1" horizontalDpi="600" verticalDpi="600" orientation="landscape" scale="80" r:id="rId1"/>
  <headerFooter alignWithMargins="0">
    <oddFooter>&amp;CPage 8</oddFooter>
  </headerFooter>
</worksheet>
</file>

<file path=xl/worksheets/sheet11.xml><?xml version="1.0" encoding="utf-8"?>
<worksheet xmlns="http://schemas.openxmlformats.org/spreadsheetml/2006/main" xmlns:r="http://schemas.openxmlformats.org/officeDocument/2006/relationships">
  <dimension ref="A1:H42"/>
  <sheetViews>
    <sheetView zoomScale="75" zoomScaleNormal="75" workbookViewId="0" topLeftCell="A1">
      <selection activeCell="A1" sqref="A1"/>
    </sheetView>
  </sheetViews>
  <sheetFormatPr defaultColWidth="9.140625" defaultRowHeight="15" customHeight="1"/>
  <cols>
    <col min="1" max="1" width="41.00390625" style="2" customWidth="1"/>
    <col min="2" max="7" width="18.7109375" style="172" customWidth="1"/>
    <col min="8" max="16384" width="15.7109375" style="2" customWidth="1"/>
  </cols>
  <sheetData>
    <row r="1" spans="1:7" s="257" customFormat="1" ht="24.75" customHeight="1">
      <c r="A1" s="424" t="s">
        <v>251</v>
      </c>
      <c r="B1" s="425"/>
      <c r="C1" s="425"/>
      <c r="D1" s="425"/>
      <c r="E1" s="425"/>
      <c r="F1" s="425"/>
      <c r="G1" s="426"/>
    </row>
    <row r="2" spans="1:7" s="98" customFormat="1" ht="15" customHeight="1">
      <c r="A2" s="427"/>
      <c r="B2" s="428"/>
      <c r="C2" s="428"/>
      <c r="D2" s="428"/>
      <c r="E2" s="428"/>
      <c r="F2" s="428"/>
      <c r="G2" s="429"/>
    </row>
    <row r="3" spans="1:7" ht="15" customHeight="1">
      <c r="A3" s="844" t="s">
        <v>374</v>
      </c>
      <c r="B3" s="845"/>
      <c r="C3" s="845"/>
      <c r="D3" s="845"/>
      <c r="E3" s="845"/>
      <c r="F3" s="845"/>
      <c r="G3" s="846"/>
    </row>
    <row r="4" spans="1:7" ht="15" customHeight="1">
      <c r="A4" s="844" t="s">
        <v>471</v>
      </c>
      <c r="B4" s="845"/>
      <c r="C4" s="845"/>
      <c r="D4" s="845"/>
      <c r="E4" s="845"/>
      <c r="F4" s="845"/>
      <c r="G4" s="846"/>
    </row>
    <row r="5" spans="1:7" s="14" customFormat="1" ht="15" customHeight="1">
      <c r="A5" s="431"/>
      <c r="B5" s="432"/>
      <c r="C5" s="432"/>
      <c r="D5" s="432"/>
      <c r="E5" s="432"/>
      <c r="F5" s="432"/>
      <c r="G5" s="432"/>
    </row>
    <row r="6" spans="1:7" s="14" customFormat="1" ht="30" customHeight="1">
      <c r="A6" s="433" t="s">
        <v>79</v>
      </c>
      <c r="B6" s="310" t="s">
        <v>465</v>
      </c>
      <c r="C6" s="310" t="s">
        <v>193</v>
      </c>
      <c r="D6" s="310" t="s">
        <v>42</v>
      </c>
      <c r="E6" s="865" t="s">
        <v>46</v>
      </c>
      <c r="F6" s="865" t="s">
        <v>466</v>
      </c>
      <c r="G6" s="580" t="s">
        <v>252</v>
      </c>
    </row>
    <row r="7" spans="1:7" s="14" customFormat="1" ht="15" customHeight="1">
      <c r="A7" s="431"/>
      <c r="B7" s="432"/>
      <c r="C7" s="432"/>
      <c r="D7" s="432"/>
      <c r="E7" s="432"/>
      <c r="F7" s="432"/>
      <c r="G7" s="432"/>
    </row>
    <row r="8" spans="1:7" s="14" customFormat="1" ht="15" customHeight="1">
      <c r="A8" s="434" t="s">
        <v>375</v>
      </c>
      <c r="B8" s="374"/>
      <c r="C8" s="374"/>
      <c r="D8" s="374"/>
      <c r="E8" s="374"/>
      <c r="F8" s="374"/>
      <c r="G8" s="374"/>
    </row>
    <row r="9" spans="1:7" s="99" customFormat="1" ht="15" customHeight="1">
      <c r="A9" s="373" t="s">
        <v>443</v>
      </c>
      <c r="B9" s="478">
        <f>-'[11]1Q05 Trial Balance'!C213</f>
        <v>4305956</v>
      </c>
      <c r="C9" s="478">
        <f>-'[11]1Q05 Trial Balance'!C209</f>
        <v>-38009</v>
      </c>
      <c r="D9" s="478">
        <f>-'[11]1Q05 Trial Balance'!C206</f>
        <v>-2949</v>
      </c>
      <c r="E9" s="126">
        <v>0</v>
      </c>
      <c r="F9" s="126">
        <v>0</v>
      </c>
      <c r="G9" s="478">
        <f>SUM(B9:F9)</f>
        <v>4264998</v>
      </c>
    </row>
    <row r="10" spans="1:7" s="14" customFormat="1" ht="15" customHeight="1">
      <c r="A10" s="373" t="s">
        <v>389</v>
      </c>
      <c r="B10" s="126">
        <f>-'[11]1Q05 Trial Balance'!C214</f>
        <v>1194841</v>
      </c>
      <c r="C10" s="126">
        <f>-'[11]1Q05 Trial Balance'!C210</f>
        <v>-5139</v>
      </c>
      <c r="D10" s="126">
        <f>-'[11]1Q05 Trial Balance'!C207</f>
        <v>-675</v>
      </c>
      <c r="E10" s="126">
        <v>0</v>
      </c>
      <c r="F10" s="126">
        <v>0</v>
      </c>
      <c r="G10" s="487">
        <f>SUM(B10:F10)</f>
        <v>1189027</v>
      </c>
    </row>
    <row r="11" spans="1:7" s="14" customFormat="1" ht="15" customHeight="1">
      <c r="A11" s="373" t="s">
        <v>390</v>
      </c>
      <c r="B11" s="126">
        <f>-'[11]1Q05 Trial Balance'!C215</f>
        <v>13388</v>
      </c>
      <c r="C11" s="126">
        <f>-'[11]1Q05 Trial Balance'!C211</f>
        <v>-377</v>
      </c>
      <c r="D11" s="126">
        <v>0</v>
      </c>
      <c r="E11" s="126">
        <v>0</v>
      </c>
      <c r="F11" s="126">
        <v>0</v>
      </c>
      <c r="G11" s="487">
        <f>SUM(B11:F11)</f>
        <v>13011</v>
      </c>
    </row>
    <row r="12" spans="1:7" s="24" customFormat="1" ht="15" customHeight="1" thickBot="1">
      <c r="A12" s="435" t="s">
        <v>379</v>
      </c>
      <c r="B12" s="138">
        <f aca="true" t="shared" si="0" ref="B12:G12">SUM(B9:B11)</f>
        <v>5514185</v>
      </c>
      <c r="C12" s="138">
        <f t="shared" si="0"/>
        <v>-43525</v>
      </c>
      <c r="D12" s="138">
        <f t="shared" si="0"/>
        <v>-3624</v>
      </c>
      <c r="E12" s="138">
        <f t="shared" si="0"/>
        <v>0</v>
      </c>
      <c r="F12" s="138">
        <f t="shared" si="0"/>
        <v>0</v>
      </c>
      <c r="G12" s="776">
        <f t="shared" si="0"/>
        <v>5467036</v>
      </c>
    </row>
    <row r="13" spans="1:7" s="24" customFormat="1" ht="15" customHeight="1" thickTop="1">
      <c r="A13" s="373"/>
      <c r="B13" s="126"/>
      <c r="C13" s="126"/>
      <c r="D13" s="126"/>
      <c r="E13" s="126"/>
      <c r="F13" s="126"/>
      <c r="G13" s="256"/>
    </row>
    <row r="14" spans="1:7" s="24" customFormat="1" ht="30" customHeight="1">
      <c r="A14" s="434" t="s">
        <v>484</v>
      </c>
      <c r="B14" s="126"/>
      <c r="C14" s="126"/>
      <c r="D14" s="126"/>
      <c r="E14" s="126"/>
      <c r="F14" s="126"/>
      <c r="G14" s="126"/>
    </row>
    <row r="15" spans="1:7" s="24" customFormat="1" ht="15" customHeight="1">
      <c r="A15" s="373" t="s">
        <v>443</v>
      </c>
      <c r="B15" s="126">
        <f>-'[11]1Q05 Trial Balance'!C46</f>
        <v>3772348</v>
      </c>
      <c r="C15" s="126">
        <f>-'[11]1Q05 Trial Balance'!C42</f>
        <v>5200979</v>
      </c>
      <c r="D15" s="126">
        <v>0</v>
      </c>
      <c r="E15" s="126">
        <v>0</v>
      </c>
      <c r="F15" s="126">
        <v>0</v>
      </c>
      <c r="G15" s="487">
        <f>SUM(B15:F15)</f>
        <v>8973327</v>
      </c>
    </row>
    <row r="16" spans="1:7" s="24" customFormat="1" ht="15" customHeight="1">
      <c r="A16" s="373" t="s">
        <v>13</v>
      </c>
      <c r="B16" s="126">
        <f>-'[11]1Q05 Trial Balance'!C47</f>
        <v>1045748</v>
      </c>
      <c r="C16" s="126">
        <f>-'[11]1Q05 Trial Balance'!C43</f>
        <v>1490379</v>
      </c>
      <c r="D16" s="126">
        <v>0</v>
      </c>
      <c r="E16" s="126">
        <v>0</v>
      </c>
      <c r="F16" s="126">
        <v>0</v>
      </c>
      <c r="G16" s="487">
        <f>SUM(B16:F16)</f>
        <v>2536127</v>
      </c>
    </row>
    <row r="17" spans="1:7" s="24" customFormat="1" ht="15" customHeight="1">
      <c r="A17" s="373" t="s">
        <v>402</v>
      </c>
      <c r="B17" s="126">
        <f>-'[11]1Q05 Trial Balance'!C48</f>
        <v>11747</v>
      </c>
      <c r="C17" s="126">
        <f>-'[11]1Q05 Trial Balance'!C44</f>
        <v>17663</v>
      </c>
      <c r="D17" s="126">
        <v>0</v>
      </c>
      <c r="E17" s="126">
        <v>0</v>
      </c>
      <c r="F17" s="126">
        <v>0</v>
      </c>
      <c r="G17" s="775">
        <f>SUM(B17:F17)</f>
        <v>29410</v>
      </c>
    </row>
    <row r="18" spans="1:7" s="24" customFormat="1" ht="15" customHeight="1" thickBot="1">
      <c r="A18" s="435" t="s">
        <v>379</v>
      </c>
      <c r="B18" s="138">
        <f>SUM(B15:B17)</f>
        <v>4829843</v>
      </c>
      <c r="C18" s="138">
        <f>SUM(C15:C17)</f>
        <v>6709021</v>
      </c>
      <c r="D18" s="138">
        <f>SUM(D15:D17)</f>
        <v>0</v>
      </c>
      <c r="E18" s="138">
        <f>SUM(E15:E17)</f>
        <v>0</v>
      </c>
      <c r="F18" s="138">
        <v>0</v>
      </c>
      <c r="G18" s="776">
        <f>SUM(G15:G17)</f>
        <v>11538864</v>
      </c>
    </row>
    <row r="19" spans="1:7" s="24" customFormat="1" ht="15" customHeight="1" thickTop="1">
      <c r="A19" s="373"/>
      <c r="B19" s="126"/>
      <c r="C19" s="126"/>
      <c r="D19" s="126"/>
      <c r="E19" s="126"/>
      <c r="F19" s="126"/>
      <c r="G19" s="256"/>
    </row>
    <row r="20" spans="1:7" s="24" customFormat="1" ht="30" customHeight="1">
      <c r="A20" s="434" t="s">
        <v>485</v>
      </c>
      <c r="B20" s="312"/>
      <c r="C20" s="312"/>
      <c r="D20" s="312"/>
      <c r="E20" s="312"/>
      <c r="F20" s="126"/>
      <c r="G20" s="126"/>
    </row>
    <row r="21" spans="1:7" s="24" customFormat="1" ht="15" customHeight="1">
      <c r="A21" s="373" t="s">
        <v>443</v>
      </c>
      <c r="B21" s="126">
        <v>0</v>
      </c>
      <c r="C21" s="126">
        <v>9240740</v>
      </c>
      <c r="D21" s="126">
        <v>0</v>
      </c>
      <c r="E21" s="126">
        <v>0</v>
      </c>
      <c r="F21" s="126">
        <v>0</v>
      </c>
      <c r="G21" s="487">
        <f>SUM(B21:F21)</f>
        <v>9240740</v>
      </c>
    </row>
    <row r="22" spans="1:7" s="24" customFormat="1" ht="15" customHeight="1">
      <c r="A22" s="373" t="s">
        <v>389</v>
      </c>
      <c r="B22" s="126">
        <v>0</v>
      </c>
      <c r="C22" s="126">
        <v>2646702</v>
      </c>
      <c r="D22" s="126">
        <v>0</v>
      </c>
      <c r="E22" s="126">
        <v>0</v>
      </c>
      <c r="F22" s="126">
        <v>0</v>
      </c>
      <c r="G22" s="487">
        <f>SUM(B22:F22)</f>
        <v>2646702</v>
      </c>
    </row>
    <row r="23" spans="1:7" s="24" customFormat="1" ht="15" customHeight="1">
      <c r="A23" s="373" t="s">
        <v>390</v>
      </c>
      <c r="B23" s="126">
        <v>0</v>
      </c>
      <c r="C23" s="126">
        <v>32130</v>
      </c>
      <c r="D23" s="126">
        <v>0</v>
      </c>
      <c r="E23" s="126">
        <v>0</v>
      </c>
      <c r="F23" s="126">
        <v>0</v>
      </c>
      <c r="G23" s="487">
        <f>SUM(B23:F23)</f>
        <v>32130</v>
      </c>
    </row>
    <row r="24" spans="1:7" s="24" customFormat="1" ht="15" customHeight="1" thickBot="1">
      <c r="A24" s="435" t="s">
        <v>379</v>
      </c>
      <c r="B24" s="138">
        <f aca="true" t="shared" si="1" ref="B24:G24">SUM(B21:B23)</f>
        <v>0</v>
      </c>
      <c r="C24" s="138">
        <f t="shared" si="1"/>
        <v>11919572</v>
      </c>
      <c r="D24" s="138">
        <f t="shared" si="1"/>
        <v>0</v>
      </c>
      <c r="E24" s="138">
        <f t="shared" si="1"/>
        <v>0</v>
      </c>
      <c r="F24" s="138">
        <f t="shared" si="1"/>
        <v>0</v>
      </c>
      <c r="G24" s="129">
        <f t="shared" si="1"/>
        <v>11919572</v>
      </c>
    </row>
    <row r="25" spans="1:7" s="786" customFormat="1" ht="15" customHeight="1" thickTop="1">
      <c r="A25" s="436"/>
      <c r="B25" s="126"/>
      <c r="C25" s="126"/>
      <c r="D25" s="126"/>
      <c r="E25" s="847"/>
      <c r="F25" s="126"/>
      <c r="G25" s="785"/>
    </row>
    <row r="26" spans="1:7" s="24" customFormat="1" ht="15" customHeight="1">
      <c r="A26" s="434" t="s">
        <v>380</v>
      </c>
      <c r="B26" s="126"/>
      <c r="C26" s="126"/>
      <c r="D26" s="126"/>
      <c r="E26" s="126"/>
      <c r="F26" s="126"/>
      <c r="G26" s="126"/>
    </row>
    <row r="27" spans="1:7" s="24" customFormat="1" ht="15" customHeight="1">
      <c r="A27" s="373" t="s">
        <v>443</v>
      </c>
      <c r="B27" s="126">
        <f aca="true" t="shared" si="2" ref="B27:F29">B9-(B15-B21)</f>
        <v>533608</v>
      </c>
      <c r="C27" s="126">
        <f t="shared" si="2"/>
        <v>4001752</v>
      </c>
      <c r="D27" s="126">
        <f t="shared" si="2"/>
        <v>-2949</v>
      </c>
      <c r="E27" s="126">
        <f t="shared" si="2"/>
        <v>0</v>
      </c>
      <c r="F27" s="126">
        <f t="shared" si="2"/>
        <v>0</v>
      </c>
      <c r="G27" s="487">
        <f>SUM(B27:F27)</f>
        <v>4532411</v>
      </c>
    </row>
    <row r="28" spans="1:7" s="24" customFormat="1" ht="15" customHeight="1">
      <c r="A28" s="373" t="s">
        <v>389</v>
      </c>
      <c r="B28" s="126">
        <f t="shared" si="2"/>
        <v>149093</v>
      </c>
      <c r="C28" s="126">
        <f t="shared" si="2"/>
        <v>1151184</v>
      </c>
      <c r="D28" s="126">
        <f t="shared" si="2"/>
        <v>-675</v>
      </c>
      <c r="E28" s="126">
        <f t="shared" si="2"/>
        <v>0</v>
      </c>
      <c r="F28" s="126">
        <f t="shared" si="2"/>
        <v>0</v>
      </c>
      <c r="G28" s="487">
        <f>SUM(B28:F28)</f>
        <v>1299602</v>
      </c>
    </row>
    <row r="29" spans="1:7" s="24" customFormat="1" ht="15" customHeight="1">
      <c r="A29" s="437" t="s">
        <v>390</v>
      </c>
      <c r="B29" s="487">
        <f t="shared" si="2"/>
        <v>1641</v>
      </c>
      <c r="C29" s="487">
        <f t="shared" si="2"/>
        <v>14090</v>
      </c>
      <c r="D29" s="487">
        <f t="shared" si="2"/>
        <v>0</v>
      </c>
      <c r="E29" s="487">
        <f t="shared" si="2"/>
        <v>0</v>
      </c>
      <c r="F29" s="126">
        <f t="shared" si="2"/>
        <v>0</v>
      </c>
      <c r="G29" s="487">
        <f>SUM(B29:F29)</f>
        <v>15731</v>
      </c>
    </row>
    <row r="30" spans="1:7" s="24" customFormat="1" ht="15" customHeight="1" thickBot="1">
      <c r="A30" s="435" t="s">
        <v>379</v>
      </c>
      <c r="B30" s="554">
        <f aca="true" t="shared" si="3" ref="B30:G30">SUM(B27:B29)</f>
        <v>684342</v>
      </c>
      <c r="C30" s="554">
        <f t="shared" si="3"/>
        <v>5167026</v>
      </c>
      <c r="D30" s="554">
        <f t="shared" si="3"/>
        <v>-3624</v>
      </c>
      <c r="E30" s="876">
        <f t="shared" si="3"/>
        <v>0</v>
      </c>
      <c r="F30" s="876">
        <f t="shared" si="3"/>
        <v>0</v>
      </c>
      <c r="G30" s="554">
        <f t="shared" si="3"/>
        <v>5847744</v>
      </c>
    </row>
    <row r="31" spans="2:7" s="14" customFormat="1" ht="15" customHeight="1" thickTop="1">
      <c r="B31" s="256"/>
      <c r="C31" s="256"/>
      <c r="D31" s="256"/>
      <c r="E31" s="256"/>
      <c r="F31" s="256"/>
      <c r="G31" s="256"/>
    </row>
    <row r="32" spans="1:7" s="14" customFormat="1" ht="15" customHeight="1">
      <c r="A32" s="952" t="s">
        <v>39</v>
      </c>
      <c r="B32" s="952"/>
      <c r="C32" s="952"/>
      <c r="D32" s="952"/>
      <c r="E32" s="952"/>
      <c r="F32" s="952"/>
      <c r="G32" s="952"/>
    </row>
    <row r="33" spans="1:7" ht="15" customHeight="1">
      <c r="A33" s="952"/>
      <c r="B33" s="952"/>
      <c r="C33" s="952"/>
      <c r="D33" s="952"/>
      <c r="E33" s="952"/>
      <c r="F33" s="952"/>
      <c r="G33" s="952"/>
    </row>
    <row r="34" spans="1:7" ht="15" customHeight="1">
      <c r="A34" s="952"/>
      <c r="B34" s="952"/>
      <c r="C34" s="952"/>
      <c r="D34" s="952"/>
      <c r="E34" s="952"/>
      <c r="F34" s="952"/>
      <c r="G34" s="952"/>
    </row>
    <row r="35" spans="1:7" ht="15" customHeight="1">
      <c r="A35" s="135"/>
      <c r="B35" s="953" t="s">
        <v>432</v>
      </c>
      <c r="C35" s="953" t="s">
        <v>37</v>
      </c>
      <c r="D35" s="135"/>
      <c r="E35" s="891"/>
      <c r="F35" s="953" t="s">
        <v>432</v>
      </c>
      <c r="G35" s="953" t="s">
        <v>37</v>
      </c>
    </row>
    <row r="36" spans="1:7" ht="15" customHeight="1">
      <c r="A36" s="892" t="s">
        <v>317</v>
      </c>
      <c r="B36" s="953"/>
      <c r="C36" s="953"/>
      <c r="D36" s="135"/>
      <c r="E36" s="893" t="s">
        <v>317</v>
      </c>
      <c r="F36" s="953"/>
      <c r="G36" s="953"/>
    </row>
    <row r="37" spans="1:8" ht="15" customHeight="1">
      <c r="A37" s="894" t="s">
        <v>480</v>
      </c>
      <c r="B37" s="894">
        <v>1645690</v>
      </c>
      <c r="C37" s="894">
        <f>B37+516016</f>
        <v>2161706</v>
      </c>
      <c r="D37" s="895" t="s">
        <v>38</v>
      </c>
      <c r="E37" s="894">
        <v>471393</v>
      </c>
      <c r="F37" s="894">
        <v>1887597</v>
      </c>
      <c r="G37" s="894">
        <f>SUM(E37:F37)</f>
        <v>2358990</v>
      </c>
      <c r="H37" s="4"/>
    </row>
    <row r="38" spans="1:8" ht="15" customHeight="1">
      <c r="A38" s="894" t="s">
        <v>481</v>
      </c>
      <c r="B38" s="894">
        <v>1739979</v>
      </c>
      <c r="C38" s="894">
        <f>B38+504458</f>
        <v>2244437</v>
      </c>
      <c r="D38" s="895"/>
      <c r="E38" s="894"/>
      <c r="F38" s="894"/>
      <c r="G38" s="894"/>
      <c r="H38" s="4"/>
    </row>
    <row r="39" spans="1:8" ht="15" customHeight="1">
      <c r="A39" s="894" t="s">
        <v>482</v>
      </c>
      <c r="B39" s="894">
        <v>1876360</v>
      </c>
      <c r="C39" s="894">
        <f>B39+486228</f>
        <v>2362588</v>
      </c>
      <c r="D39" s="895"/>
      <c r="E39" s="894"/>
      <c r="F39" s="894"/>
      <c r="G39" s="894"/>
      <c r="H39" s="4"/>
    </row>
    <row r="40" spans="1:8" ht="15" customHeight="1">
      <c r="A40" s="894" t="s">
        <v>483</v>
      </c>
      <c r="B40" s="894">
        <v>1957527</v>
      </c>
      <c r="C40" s="894">
        <f>B40+480810</f>
        <v>2438337</v>
      </c>
      <c r="D40" s="895"/>
      <c r="E40" s="894"/>
      <c r="F40" s="894"/>
      <c r="G40" s="894"/>
      <c r="H40" s="4"/>
    </row>
    <row r="41" spans="1:7" ht="15" customHeight="1">
      <c r="A41" s="952" t="s">
        <v>435</v>
      </c>
      <c r="B41" s="952"/>
      <c r="C41" s="952"/>
      <c r="D41" s="952"/>
      <c r="E41" s="952"/>
      <c r="F41" s="952"/>
      <c r="G41" s="952"/>
    </row>
    <row r="42" spans="1:7" ht="15" customHeight="1">
      <c r="A42" s="952"/>
      <c r="B42" s="952"/>
      <c r="C42" s="952"/>
      <c r="D42" s="952"/>
      <c r="E42" s="952"/>
      <c r="F42" s="952"/>
      <c r="G42" s="952"/>
    </row>
  </sheetData>
  <mergeCells count="6">
    <mergeCell ref="A41:G42"/>
    <mergeCell ref="A32:G34"/>
    <mergeCell ref="B35:B36"/>
    <mergeCell ref="C35:C36"/>
    <mergeCell ref="F35:F36"/>
    <mergeCell ref="G35:G36"/>
  </mergeCells>
  <printOptions horizontalCentered="1"/>
  <pageMargins left="0.25" right="0.25" top="0.5" bottom="0.5" header="0.25" footer="0.25"/>
  <pageSetup horizontalDpi="600" verticalDpi="600" orientation="landscape" scale="80" r:id="rId1"/>
  <headerFooter alignWithMargins="0">
    <oddFooter>&amp;C&amp;"Century Schoolbook,Regular"Page 5</oddFooter>
  </headerFooter>
</worksheet>
</file>

<file path=xl/worksheets/sheet12.xml><?xml version="1.0" encoding="utf-8"?>
<worksheet xmlns="http://schemas.openxmlformats.org/spreadsheetml/2006/main" xmlns:r="http://schemas.openxmlformats.org/officeDocument/2006/relationships">
  <dimension ref="A1:G75"/>
  <sheetViews>
    <sheetView zoomScale="75" zoomScaleNormal="75" workbookViewId="0" topLeftCell="A1">
      <selection activeCell="A1" sqref="A1:G1"/>
    </sheetView>
  </sheetViews>
  <sheetFormatPr defaultColWidth="9.140625" defaultRowHeight="15" customHeight="1"/>
  <cols>
    <col min="1" max="1" width="59.00390625" style="880" customWidth="1"/>
    <col min="2" max="4" width="16.7109375" style="575" customWidth="1"/>
    <col min="5" max="7" width="16.7109375" style="576" customWidth="1"/>
    <col min="8" max="16384" width="15.7109375" style="340" customWidth="1"/>
  </cols>
  <sheetData>
    <row r="1" spans="1:7" s="365" customFormat="1" ht="24.75" customHeight="1">
      <c r="A1" s="954" t="s">
        <v>251</v>
      </c>
      <c r="B1" s="954"/>
      <c r="C1" s="954"/>
      <c r="D1" s="954"/>
      <c r="E1" s="954"/>
      <c r="F1" s="954"/>
      <c r="G1" s="954"/>
    </row>
    <row r="2" spans="1:7" s="166" customFormat="1" ht="15" customHeight="1">
      <c r="A2" s="879"/>
      <c r="B2" s="848"/>
      <c r="C2" s="848"/>
      <c r="D2" s="848"/>
      <c r="E2" s="848"/>
      <c r="F2" s="848"/>
      <c r="G2" s="848"/>
    </row>
    <row r="3" spans="1:7" s="167" customFormat="1" ht="15" customHeight="1">
      <c r="A3" s="955" t="s">
        <v>385</v>
      </c>
      <c r="B3" s="955"/>
      <c r="C3" s="955"/>
      <c r="D3" s="955"/>
      <c r="E3" s="955"/>
      <c r="F3" s="955"/>
      <c r="G3" s="955"/>
    </row>
    <row r="4" spans="1:7" s="167" customFormat="1" ht="15" customHeight="1">
      <c r="A4" s="955" t="s">
        <v>471</v>
      </c>
      <c r="B4" s="955"/>
      <c r="C4" s="955"/>
      <c r="D4" s="955"/>
      <c r="E4" s="955"/>
      <c r="F4" s="955"/>
      <c r="G4" s="955"/>
    </row>
    <row r="5" spans="1:7" s="366" customFormat="1" ht="15" customHeight="1">
      <c r="A5" s="879"/>
      <c r="B5" s="574"/>
      <c r="C5" s="574"/>
      <c r="D5" s="574"/>
      <c r="E5" s="848"/>
      <c r="F5" s="848"/>
      <c r="G5" s="848"/>
    </row>
    <row r="6" spans="1:7" ht="30" customHeight="1">
      <c r="A6" s="882" t="s">
        <v>79</v>
      </c>
      <c r="B6" s="310" t="s">
        <v>465</v>
      </c>
      <c r="C6" s="310" t="s">
        <v>193</v>
      </c>
      <c r="D6" s="310" t="s">
        <v>42</v>
      </c>
      <c r="E6" s="865" t="s">
        <v>46</v>
      </c>
      <c r="F6" s="865" t="s">
        <v>466</v>
      </c>
      <c r="G6" s="849" t="s">
        <v>252</v>
      </c>
    </row>
    <row r="7" spans="1:7" ht="15" customHeight="1">
      <c r="A7" s="882"/>
      <c r="B7" s="850"/>
      <c r="C7" s="850"/>
      <c r="D7" s="850"/>
      <c r="E7" s="850"/>
      <c r="F7" s="850"/>
      <c r="G7" s="850"/>
    </row>
    <row r="8" spans="1:7" ht="15" customHeight="1">
      <c r="A8" s="882" t="s">
        <v>386</v>
      </c>
      <c r="B8" s="850"/>
      <c r="C8" s="850"/>
      <c r="D8" s="850"/>
      <c r="E8" s="850"/>
      <c r="F8" s="850"/>
      <c r="G8" s="850"/>
    </row>
    <row r="9" spans="1:7" ht="15" customHeight="1">
      <c r="A9" s="882" t="s">
        <v>475</v>
      </c>
      <c r="B9" s="851"/>
      <c r="C9" s="851"/>
      <c r="D9" s="851"/>
      <c r="E9" s="851"/>
      <c r="F9" s="851"/>
      <c r="G9" s="851"/>
    </row>
    <row r="10" spans="1:7" ht="15" customHeight="1">
      <c r="A10" s="883" t="s">
        <v>388</v>
      </c>
      <c r="B10" s="478">
        <f>'[11]Loss Expenses QTD-10'!F34</f>
        <v>2805.44</v>
      </c>
      <c r="C10" s="478">
        <f>'[11]Loss Expenses QTD-10'!F28+'[11]1Q05 Trial Balance'!C268</f>
        <v>2594343.95</v>
      </c>
      <c r="D10" s="478">
        <f>'[11]Loss Expenses QTD-10'!F22+'[11]1Q05 Trial Balance'!C265</f>
        <v>875749.33</v>
      </c>
      <c r="E10" s="478">
        <f>'[11]Loss Expenses QTD-10'!F16+'[11]1Q05 Trial Balance'!C262</f>
        <v>-86288.20999999999</v>
      </c>
      <c r="F10" s="478">
        <f>'[11]1Q05 Trial Balance'!C260</f>
        <v>-100000</v>
      </c>
      <c r="G10" s="478">
        <f>SUM(B10:F10)-1</f>
        <v>3286609.5100000002</v>
      </c>
    </row>
    <row r="11" spans="1:7" ht="15" customHeight="1">
      <c r="A11" s="883" t="s">
        <v>389</v>
      </c>
      <c r="B11" s="852">
        <f>'[11]Loss Expenses QTD-10'!F35</f>
        <v>0</v>
      </c>
      <c r="C11" s="852">
        <f>'[11]Loss Expenses QTD-10'!F29</f>
        <v>268119.77</v>
      </c>
      <c r="D11" s="852">
        <f>'[11]Loss Expenses QTD-10'!F23+'[11]1Q05 Trial Balance'!C266</f>
        <v>39799.880000000005</v>
      </c>
      <c r="E11" s="852">
        <f>'[11]Loss Expenses QTD-10'!F17+'[11]1Q05 Trial Balance'!C263</f>
        <v>-7915</v>
      </c>
      <c r="F11" s="852">
        <f>'[11]Loss Expenses QTD-10'!F11</f>
        <v>0</v>
      </c>
      <c r="G11" s="852">
        <f>SUM(B11:F11)</f>
        <v>300004.65</v>
      </c>
    </row>
    <row r="12" spans="1:7" ht="15" customHeight="1">
      <c r="A12" s="883" t="s">
        <v>390</v>
      </c>
      <c r="B12" s="852">
        <f>'[11]Loss Expenses QTD-10'!F36</f>
        <v>0</v>
      </c>
      <c r="C12" s="852">
        <f>'[11]Loss Expenses QTD-10'!F30</f>
        <v>1779</v>
      </c>
      <c r="D12" s="852">
        <f>'[11]Loss Expenses QTD-10'!F24</f>
        <v>0</v>
      </c>
      <c r="E12" s="852">
        <f>'[11]Loss Expenses QTD-10'!F18</f>
        <v>0</v>
      </c>
      <c r="F12" s="852">
        <f>'[11]Loss Expenses QTD-10'!F12</f>
        <v>0</v>
      </c>
      <c r="G12" s="852">
        <f>SUM(B12:F12)</f>
        <v>1779</v>
      </c>
    </row>
    <row r="13" spans="1:7" ht="15" customHeight="1" thickBot="1">
      <c r="A13" s="884" t="s">
        <v>379</v>
      </c>
      <c r="B13" s="830">
        <f>SUM(B10:B12)</f>
        <v>2805.44</v>
      </c>
      <c r="C13" s="830">
        <f>SUM(C10:C12)</f>
        <v>2864242.72</v>
      </c>
      <c r="D13" s="830">
        <f>SUM(D10:D12)</f>
        <v>915549.21</v>
      </c>
      <c r="E13" s="853">
        <f>SUM(E10:E12)</f>
        <v>-94203.20999999999</v>
      </c>
      <c r="F13" s="853">
        <f>SUM(F10:F12)</f>
        <v>-100000</v>
      </c>
      <c r="G13" s="854">
        <f>SUM(G10:G12)+1</f>
        <v>3588394.16</v>
      </c>
    </row>
    <row r="14" spans="1:7" ht="15" customHeight="1" thickTop="1">
      <c r="A14" s="882"/>
      <c r="B14" s="855"/>
      <c r="C14" s="855"/>
      <c r="D14" s="855"/>
      <c r="E14" s="852"/>
      <c r="F14" s="852"/>
      <c r="G14" s="852"/>
    </row>
    <row r="15" spans="1:7" ht="15" customHeight="1">
      <c r="A15" s="882" t="s">
        <v>467</v>
      </c>
      <c r="B15" s="855"/>
      <c r="C15" s="855"/>
      <c r="D15" s="855"/>
      <c r="E15" s="852"/>
      <c r="F15" s="852"/>
      <c r="G15" s="852"/>
    </row>
    <row r="16" spans="1:7" ht="15" customHeight="1">
      <c r="A16" s="883" t="s">
        <v>391</v>
      </c>
      <c r="B16" s="852">
        <f>'[11]IBNR Calculation-8'!E36</f>
        <v>635050</v>
      </c>
      <c r="C16" s="852">
        <f>'[11]IBNR Calculation-8'!E30</f>
        <v>2934865.01</v>
      </c>
      <c r="D16" s="852">
        <f>'[11]IBNR Calculation-8'!E23</f>
        <v>365310</v>
      </c>
      <c r="E16" s="852">
        <f>'[11]IBNR Calculation-8'!E16</f>
        <v>98339.08</v>
      </c>
      <c r="F16" s="852">
        <f>'[11]IBNR Calculation-8'!E9</f>
        <v>102037.82</v>
      </c>
      <c r="G16" s="852">
        <f>SUM(B16:F16)</f>
        <v>4135601.9099999997</v>
      </c>
    </row>
    <row r="17" spans="1:7" ht="15" customHeight="1">
      <c r="A17" s="883" t="s">
        <v>392</v>
      </c>
      <c r="B17" s="852">
        <f>'[11]IBNR Calculation-8'!E37</f>
        <v>15750</v>
      </c>
      <c r="C17" s="852">
        <f>'[11]IBNR Calculation-8'!E31</f>
        <v>282851.38</v>
      </c>
      <c r="D17" s="852">
        <f>'[11]IBNR Calculation-8'!E24</f>
        <v>64004.4</v>
      </c>
      <c r="E17" s="852">
        <f>'[11]IBNR Calculation-8'!E17</f>
        <v>10660.92</v>
      </c>
      <c r="F17" s="852">
        <f>'[11]IBNR Calculation-8'!E10</f>
        <v>0</v>
      </c>
      <c r="G17" s="852">
        <f>SUM(B17:F17)</f>
        <v>373266.7</v>
      </c>
    </row>
    <row r="18" spans="1:7" ht="15" customHeight="1">
      <c r="A18" s="883" t="s">
        <v>393</v>
      </c>
      <c r="B18" s="852">
        <f>'[11]IBNR Calculation-8'!E38</f>
        <v>0</v>
      </c>
      <c r="C18" s="852">
        <f>'[11]IBNR Calculation-8'!E32</f>
        <v>0</v>
      </c>
      <c r="D18" s="852">
        <f>'[11]IBNR Calculation-8'!E25</f>
        <v>0</v>
      </c>
      <c r="E18" s="852">
        <f>'[11]IBNR Calculation-8'!E18</f>
        <v>0</v>
      </c>
      <c r="F18" s="852">
        <f>'[11]IBNR Calculation-8'!E11</f>
        <v>0</v>
      </c>
      <c r="G18" s="852">
        <f>SUM(B18:F18)</f>
        <v>0</v>
      </c>
    </row>
    <row r="19" spans="1:7" ht="15" customHeight="1" thickBot="1">
      <c r="A19" s="884" t="s">
        <v>379</v>
      </c>
      <c r="B19" s="830">
        <f aca="true" t="shared" si="0" ref="B19:G19">SUM(B16:B18)</f>
        <v>650800</v>
      </c>
      <c r="C19" s="830">
        <f t="shared" si="0"/>
        <v>3217716.3899999997</v>
      </c>
      <c r="D19" s="830">
        <f t="shared" si="0"/>
        <v>429314.4</v>
      </c>
      <c r="E19" s="853">
        <f t="shared" si="0"/>
        <v>109000</v>
      </c>
      <c r="F19" s="853">
        <f t="shared" si="0"/>
        <v>102037.82</v>
      </c>
      <c r="G19" s="854">
        <f t="shared" si="0"/>
        <v>4508868.609999999</v>
      </c>
    </row>
    <row r="20" spans="1:7" ht="15" customHeight="1" thickTop="1">
      <c r="A20" s="882"/>
      <c r="B20" s="826"/>
      <c r="C20" s="826"/>
      <c r="D20" s="826"/>
      <c r="E20" s="856"/>
      <c r="F20" s="856"/>
      <c r="G20" s="856"/>
    </row>
    <row r="21" spans="1:7" ht="15" customHeight="1">
      <c r="A21" s="882" t="s">
        <v>468</v>
      </c>
      <c r="B21" s="857"/>
      <c r="C21" s="857"/>
      <c r="D21" s="857"/>
      <c r="E21" s="857"/>
      <c r="F21" s="857"/>
      <c r="G21" s="857"/>
    </row>
    <row r="22" spans="1:7" ht="15" customHeight="1">
      <c r="A22" s="883" t="s">
        <v>391</v>
      </c>
      <c r="B22" s="852">
        <f>'[11]IBNR Calculation-8'!C36</f>
        <v>1331355.78</v>
      </c>
      <c r="C22" s="852">
        <f>'[11]IBNR Calculation-8'!C30</f>
        <v>-506318.87</v>
      </c>
      <c r="D22" s="852">
        <f>'[11]IBNR Calculation-8'!C23</f>
        <v>-22824.94</v>
      </c>
      <c r="E22" s="852">
        <f>'[11]IBNR Calculation-8'!C16</f>
        <v>68821.12</v>
      </c>
      <c r="F22" s="852">
        <f>'[11]IBNR Calculation-8'!C9</f>
        <v>40585</v>
      </c>
      <c r="G22" s="852">
        <f>SUM(B22:F22)</f>
        <v>911618.0900000001</v>
      </c>
    </row>
    <row r="23" spans="1:7" ht="15" customHeight="1">
      <c r="A23" s="883" t="s">
        <v>392</v>
      </c>
      <c r="B23" s="852">
        <f>'[11]IBNR Calculation-8'!C37</f>
        <v>33019.22</v>
      </c>
      <c r="C23" s="852">
        <f>'[11]IBNR Calculation-8'!C31</f>
        <v>-48797.13</v>
      </c>
      <c r="D23" s="852">
        <f>'[11]IBNR Calculation-8'!C24</f>
        <v>-3999.06</v>
      </c>
      <c r="E23" s="852">
        <f>'[11]IBNR Calculation-8'!C17</f>
        <v>7460.88</v>
      </c>
      <c r="F23" s="852">
        <f>'[11]IBNR Calculation-8'!C10</f>
        <v>0</v>
      </c>
      <c r="G23" s="852">
        <f>SUM(B23:F23)</f>
        <v>-12316.089999999997</v>
      </c>
    </row>
    <row r="24" spans="1:7" ht="15" customHeight="1">
      <c r="A24" s="883" t="s">
        <v>393</v>
      </c>
      <c r="B24" s="852">
        <f>'[11]IBNR Calculation-8'!C38</f>
        <v>0</v>
      </c>
      <c r="C24" s="852">
        <f>'[11]IBNR Calculation-8'!C32</f>
        <v>0</v>
      </c>
      <c r="D24" s="852">
        <f>'[11]IBNR Calculation-8'!C25</f>
        <v>0</v>
      </c>
      <c r="E24" s="852">
        <f>'[11]IBNR Calculation-8'!C18</f>
        <v>0</v>
      </c>
      <c r="F24" s="852">
        <f>'[11]IBNR Calculation-8'!C11</f>
        <v>0</v>
      </c>
      <c r="G24" s="852">
        <f>SUM(B24:F24)</f>
        <v>0</v>
      </c>
    </row>
    <row r="25" spans="1:7" ht="15" customHeight="1" thickBot="1">
      <c r="A25" s="884" t="s">
        <v>379</v>
      </c>
      <c r="B25" s="830">
        <f aca="true" t="shared" si="1" ref="B25:G25">SUM(B22:B24)</f>
        <v>1364375</v>
      </c>
      <c r="C25" s="830">
        <f t="shared" si="1"/>
        <v>-555116</v>
      </c>
      <c r="D25" s="830">
        <f t="shared" si="1"/>
        <v>-26824</v>
      </c>
      <c r="E25" s="853">
        <f t="shared" si="1"/>
        <v>76282</v>
      </c>
      <c r="F25" s="853">
        <f t="shared" si="1"/>
        <v>40585</v>
      </c>
      <c r="G25" s="854">
        <f t="shared" si="1"/>
        <v>899302.0000000001</v>
      </c>
    </row>
    <row r="26" spans="1:7" ht="15" customHeight="1" thickTop="1">
      <c r="A26" s="882"/>
      <c r="B26" s="855"/>
      <c r="C26" s="855"/>
      <c r="D26" s="855"/>
      <c r="E26" s="852"/>
      <c r="F26" s="852"/>
      <c r="G26" s="852"/>
    </row>
    <row r="27" spans="1:7" ht="15" customHeight="1">
      <c r="A27" s="882" t="s">
        <v>469</v>
      </c>
      <c r="B27" s="858"/>
      <c r="C27" s="858"/>
      <c r="D27" s="858"/>
      <c r="E27" s="852"/>
      <c r="F27" s="852"/>
      <c r="G27" s="852"/>
    </row>
    <row r="28" spans="1:7" ht="15" customHeight="1">
      <c r="A28" s="882" t="s">
        <v>476</v>
      </c>
      <c r="B28" s="858"/>
      <c r="C28" s="858"/>
      <c r="D28" s="858"/>
      <c r="E28" s="852"/>
      <c r="F28" s="852"/>
      <c r="G28" s="852"/>
    </row>
    <row r="29" spans="1:7" ht="15" customHeight="1">
      <c r="A29" s="883" t="s">
        <v>391</v>
      </c>
      <c r="B29" s="855">
        <v>0</v>
      </c>
      <c r="C29" s="855">
        <v>4273887.24</v>
      </c>
      <c r="D29" s="855">
        <v>1249469.99</v>
      </c>
      <c r="E29" s="855">
        <v>209982.59</v>
      </c>
      <c r="F29" s="855">
        <f>144281+17038</f>
        <v>161319</v>
      </c>
      <c r="G29" s="852">
        <f>SUM(B29:F29)</f>
        <v>5894658.82</v>
      </c>
    </row>
    <row r="30" spans="1:7" ht="15" customHeight="1">
      <c r="A30" s="883" t="s">
        <v>392</v>
      </c>
      <c r="B30" s="855">
        <v>0</v>
      </c>
      <c r="C30" s="855">
        <v>458834.88</v>
      </c>
      <c r="D30" s="855">
        <v>138034.75</v>
      </c>
      <c r="E30" s="855">
        <v>20948.41</v>
      </c>
      <c r="F30" s="855">
        <v>0</v>
      </c>
      <c r="G30" s="852">
        <f>SUM(B30:F30)</f>
        <v>617818.04</v>
      </c>
    </row>
    <row r="31" spans="1:7" ht="15" customHeight="1">
      <c r="A31" s="883" t="s">
        <v>393</v>
      </c>
      <c r="B31" s="855">
        <v>0</v>
      </c>
      <c r="C31" s="855">
        <v>0</v>
      </c>
      <c r="D31" s="855">
        <v>0</v>
      </c>
      <c r="E31" s="855">
        <v>0</v>
      </c>
      <c r="F31" s="855">
        <v>0</v>
      </c>
      <c r="G31" s="852">
        <f>SUM(B31:F31)</f>
        <v>0</v>
      </c>
    </row>
    <row r="32" spans="1:7" ht="15" customHeight="1" thickBot="1">
      <c r="A32" s="884" t="s">
        <v>379</v>
      </c>
      <c r="B32" s="830">
        <f aca="true" t="shared" si="2" ref="B32:G32">SUM(B29:B31)</f>
        <v>0</v>
      </c>
      <c r="C32" s="830">
        <f t="shared" si="2"/>
        <v>4732722.12</v>
      </c>
      <c r="D32" s="830">
        <f t="shared" si="2"/>
        <v>1387504.74</v>
      </c>
      <c r="E32" s="853">
        <f t="shared" si="2"/>
        <v>230931</v>
      </c>
      <c r="F32" s="853">
        <f t="shared" si="2"/>
        <v>161319</v>
      </c>
      <c r="G32" s="854">
        <f t="shared" si="2"/>
        <v>6512476.86</v>
      </c>
    </row>
    <row r="33" spans="1:7" s="859" customFormat="1" ht="15" customHeight="1" thickTop="1">
      <c r="A33" s="882"/>
      <c r="B33" s="858"/>
      <c r="C33" s="858"/>
      <c r="D33" s="858"/>
      <c r="E33" s="858"/>
      <c r="F33" s="858"/>
      <c r="G33" s="858"/>
    </row>
    <row r="34" spans="1:7" ht="15" customHeight="1">
      <c r="A34" s="882" t="s">
        <v>394</v>
      </c>
      <c r="B34" s="855"/>
      <c r="C34" s="855"/>
      <c r="D34" s="855"/>
      <c r="E34" s="852"/>
      <c r="F34" s="852"/>
      <c r="G34" s="852"/>
    </row>
    <row r="35" spans="1:7" ht="15" customHeight="1">
      <c r="A35" s="883" t="s">
        <v>391</v>
      </c>
      <c r="B35" s="852">
        <f aca="true" t="shared" si="3" ref="B35:F37">B10+(B16+B22-B29)</f>
        <v>1969211.22</v>
      </c>
      <c r="C35" s="852">
        <f t="shared" si="3"/>
        <v>749002.8499999996</v>
      </c>
      <c r="D35" s="852">
        <f t="shared" si="3"/>
        <v>-31235.599999999977</v>
      </c>
      <c r="E35" s="852">
        <f t="shared" si="3"/>
        <v>-129110.59999999998</v>
      </c>
      <c r="F35" s="852">
        <f>F10+(F16+F22-F29)</f>
        <v>-118696.18</v>
      </c>
      <c r="G35" s="852">
        <f>SUM(B35:F35)-1</f>
        <v>2439170.689999999</v>
      </c>
    </row>
    <row r="36" spans="1:7" ht="15" customHeight="1">
      <c r="A36" s="883" t="s">
        <v>392</v>
      </c>
      <c r="B36" s="852">
        <f t="shared" si="3"/>
        <v>48769.22</v>
      </c>
      <c r="C36" s="852">
        <f t="shared" si="3"/>
        <v>43339.140000000014</v>
      </c>
      <c r="D36" s="852">
        <f t="shared" si="3"/>
        <v>-38229.53</v>
      </c>
      <c r="E36" s="852">
        <f>E11+(E17+E23-E30)+1</f>
        <v>-10740.61</v>
      </c>
      <c r="F36" s="852">
        <f t="shared" si="3"/>
        <v>0</v>
      </c>
      <c r="G36" s="852">
        <f>SUM(B36:F36)</f>
        <v>43138.220000000016</v>
      </c>
    </row>
    <row r="37" spans="1:7" ht="15" customHeight="1">
      <c r="A37" s="883" t="s">
        <v>393</v>
      </c>
      <c r="B37" s="852">
        <f t="shared" si="3"/>
        <v>0</v>
      </c>
      <c r="C37" s="852">
        <f t="shared" si="3"/>
        <v>1779</v>
      </c>
      <c r="D37" s="852">
        <f t="shared" si="3"/>
        <v>0</v>
      </c>
      <c r="E37" s="852">
        <f t="shared" si="3"/>
        <v>0</v>
      </c>
      <c r="F37" s="852">
        <f t="shared" si="3"/>
        <v>0</v>
      </c>
      <c r="G37" s="852">
        <f>SUM(B37:F37)</f>
        <v>1779</v>
      </c>
    </row>
    <row r="38" spans="1:7" ht="15" customHeight="1" thickBot="1">
      <c r="A38" s="884" t="s">
        <v>379</v>
      </c>
      <c r="B38" s="860">
        <f>SUM(B35:B37)</f>
        <v>2017980.44</v>
      </c>
      <c r="C38" s="860">
        <f>SUM(C35:C37)</f>
        <v>794120.9899999996</v>
      </c>
      <c r="D38" s="860">
        <f>SUM(D35:D37)-1</f>
        <v>-69466.12999999998</v>
      </c>
      <c r="E38" s="860">
        <f>SUM(E35:E37)-1</f>
        <v>-139852.20999999996</v>
      </c>
      <c r="F38" s="860">
        <f>SUM(F35:F37)</f>
        <v>-118696.18</v>
      </c>
      <c r="G38" s="860">
        <f>SUM(G35:G37)</f>
        <v>2484087.909999999</v>
      </c>
    </row>
    <row r="39" spans="2:7" ht="15" customHeight="1" thickTop="1">
      <c r="B39" s="857"/>
      <c r="C39" s="857"/>
      <c r="D39" s="857"/>
      <c r="G39" s="861"/>
    </row>
    <row r="40" spans="1:7" s="787" customFormat="1" ht="15" customHeight="1">
      <c r="A40" s="881"/>
      <c r="B40" s="788"/>
      <c r="C40" s="788"/>
      <c r="D40" s="788"/>
      <c r="E40" s="789"/>
      <c r="F40" s="789"/>
      <c r="G40" s="789"/>
    </row>
    <row r="41" spans="2:4" ht="15" customHeight="1">
      <c r="B41" s="850"/>
      <c r="C41" s="850"/>
      <c r="D41" s="850"/>
    </row>
    <row r="42" spans="2:4" ht="15" customHeight="1">
      <c r="B42" s="850"/>
      <c r="C42" s="850"/>
      <c r="D42" s="850"/>
    </row>
    <row r="43" spans="2:4" ht="15" customHeight="1">
      <c r="B43" s="850"/>
      <c r="C43" s="850"/>
      <c r="D43" s="850"/>
    </row>
    <row r="44" spans="1:4" ht="15" customHeight="1">
      <c r="A44" s="879"/>
      <c r="B44" s="850"/>
      <c r="C44" s="850"/>
      <c r="D44" s="850"/>
    </row>
    <row r="45" spans="1:4" ht="15" customHeight="1">
      <c r="A45" s="879"/>
      <c r="B45" s="850"/>
      <c r="C45" s="850"/>
      <c r="D45" s="850"/>
    </row>
    <row r="46" spans="1:4" ht="15" customHeight="1">
      <c r="A46" s="879"/>
      <c r="B46" s="850"/>
      <c r="C46" s="850"/>
      <c r="D46" s="850"/>
    </row>
    <row r="47" spans="1:4" ht="15" customHeight="1">
      <c r="A47" s="879"/>
      <c r="B47" s="850"/>
      <c r="C47" s="850"/>
      <c r="D47" s="850"/>
    </row>
    <row r="48" spans="1:4" ht="15" customHeight="1">
      <c r="A48" s="879"/>
      <c r="B48" s="850"/>
      <c r="C48" s="850"/>
      <c r="D48" s="850"/>
    </row>
    <row r="49" spans="1:4" ht="15" customHeight="1">
      <c r="A49" s="879"/>
      <c r="B49" s="850"/>
      <c r="C49" s="850"/>
      <c r="D49" s="850"/>
    </row>
    <row r="50" spans="1:4" ht="15" customHeight="1">
      <c r="A50" s="879"/>
      <c r="B50" s="850"/>
      <c r="C50" s="850"/>
      <c r="D50" s="850"/>
    </row>
    <row r="51" spans="1:4" ht="15" customHeight="1">
      <c r="A51" s="879"/>
      <c r="B51" s="850"/>
      <c r="C51" s="850"/>
      <c r="D51" s="850"/>
    </row>
    <row r="52" spans="1:4" ht="15" customHeight="1">
      <c r="A52" s="879"/>
      <c r="B52" s="850"/>
      <c r="C52" s="850"/>
      <c r="D52" s="850"/>
    </row>
    <row r="53" spans="1:4" ht="15" customHeight="1">
      <c r="A53" s="879"/>
      <c r="B53" s="850"/>
      <c r="C53" s="850"/>
      <c r="D53" s="850"/>
    </row>
    <row r="54" spans="1:4" ht="15" customHeight="1">
      <c r="A54" s="879"/>
      <c r="B54" s="850"/>
      <c r="C54" s="850"/>
      <c r="D54" s="850"/>
    </row>
    <row r="55" spans="1:4" ht="15" customHeight="1">
      <c r="A55" s="879"/>
      <c r="B55" s="850"/>
      <c r="C55" s="850"/>
      <c r="D55" s="850"/>
    </row>
    <row r="56" ht="15" customHeight="1">
      <c r="A56" s="879"/>
    </row>
    <row r="57" ht="15" customHeight="1">
      <c r="A57" s="879"/>
    </row>
    <row r="58" ht="15" customHeight="1">
      <c r="A58" s="879"/>
    </row>
    <row r="59" ht="15" customHeight="1">
      <c r="A59" s="879"/>
    </row>
    <row r="60" ht="15" customHeight="1">
      <c r="A60" s="879"/>
    </row>
    <row r="61" ht="15" customHeight="1">
      <c r="A61" s="879"/>
    </row>
    <row r="62" ht="15" customHeight="1">
      <c r="A62" s="879"/>
    </row>
    <row r="63" ht="15" customHeight="1">
      <c r="A63" s="879"/>
    </row>
    <row r="64" ht="15" customHeight="1">
      <c r="A64" s="879"/>
    </row>
    <row r="65" ht="15" customHeight="1">
      <c r="A65" s="879"/>
    </row>
    <row r="66" ht="15" customHeight="1">
      <c r="A66" s="879"/>
    </row>
    <row r="67" ht="15" customHeight="1">
      <c r="A67" s="879"/>
    </row>
    <row r="68" ht="15" customHeight="1">
      <c r="A68" s="879"/>
    </row>
    <row r="69" ht="15" customHeight="1">
      <c r="A69" s="879"/>
    </row>
    <row r="70" ht="15" customHeight="1">
      <c r="A70" s="879"/>
    </row>
    <row r="71" ht="15" customHeight="1">
      <c r="A71" s="879"/>
    </row>
    <row r="72" ht="15" customHeight="1">
      <c r="A72" s="879"/>
    </row>
    <row r="73" ht="15" customHeight="1">
      <c r="A73" s="879"/>
    </row>
    <row r="74" ht="15" customHeight="1">
      <c r="A74" s="879"/>
    </row>
    <row r="75" ht="15" customHeight="1">
      <c r="A75" s="879"/>
    </row>
  </sheetData>
  <mergeCells count="3">
    <mergeCell ref="A1:G1"/>
    <mergeCell ref="A3:G3"/>
    <mergeCell ref="A4:G4"/>
  </mergeCells>
  <printOptions horizontalCentered="1"/>
  <pageMargins left="0.5" right="0.5" top="0.5" bottom="0.5" header="0" footer="0"/>
  <pageSetup horizontalDpi="300" verticalDpi="300" orientation="landscape" scale="80" r:id="rId1"/>
  <headerFooter alignWithMargins="0">
    <oddFooter>&amp;C&amp;"Century Schoolbook,Regular"Page 6&amp;"Arial,Regular"
</oddFooter>
  </headerFooter>
</worksheet>
</file>

<file path=xl/worksheets/sheet13.xml><?xml version="1.0" encoding="utf-8"?>
<worksheet xmlns="http://schemas.openxmlformats.org/spreadsheetml/2006/main" xmlns:r="http://schemas.openxmlformats.org/officeDocument/2006/relationships">
  <dimension ref="A1:AM80"/>
  <sheetViews>
    <sheetView zoomScale="75" zoomScaleNormal="75" workbookViewId="0" topLeftCell="A1">
      <selection activeCell="A1" sqref="A1"/>
    </sheetView>
  </sheetViews>
  <sheetFormatPr defaultColWidth="9.140625" defaultRowHeight="15" customHeight="1"/>
  <cols>
    <col min="1" max="1" width="32.57421875" style="18" customWidth="1"/>
    <col min="2" max="4" width="18.7109375" style="172" customWidth="1"/>
    <col min="5" max="7" width="18.7109375" style="127" customWidth="1"/>
    <col min="8" max="8" width="15.7109375" style="127" customWidth="1"/>
    <col min="9" max="16384" width="15.7109375" style="18" customWidth="1"/>
  </cols>
  <sheetData>
    <row r="1" spans="1:8" s="258" customFormat="1" ht="24.75" customHeight="1">
      <c r="A1" s="259" t="s">
        <v>251</v>
      </c>
      <c r="B1" s="307"/>
      <c r="C1" s="307"/>
      <c r="D1" s="307"/>
      <c r="E1" s="335"/>
      <c r="F1" s="335"/>
      <c r="G1" s="336"/>
      <c r="H1" s="260"/>
    </row>
    <row r="2" spans="1:7" ht="15" customHeight="1">
      <c r="A2" s="782"/>
      <c r="B2" s="326"/>
      <c r="C2" s="326"/>
      <c r="D2" s="326"/>
      <c r="E2" s="326"/>
      <c r="F2" s="326"/>
      <c r="G2" s="337"/>
    </row>
    <row r="3" spans="1:8" s="45" customFormat="1" ht="15" customHeight="1">
      <c r="A3" s="643" t="s">
        <v>396</v>
      </c>
      <c r="B3" s="862"/>
      <c r="C3" s="862"/>
      <c r="D3" s="862"/>
      <c r="E3" s="863"/>
      <c r="F3" s="863"/>
      <c r="G3" s="864"/>
      <c r="H3" s="779"/>
    </row>
    <row r="4" spans="1:8" s="45" customFormat="1" ht="15" customHeight="1">
      <c r="A4" s="643" t="s">
        <v>397</v>
      </c>
      <c r="B4" s="862"/>
      <c r="C4" s="862"/>
      <c r="D4" s="862"/>
      <c r="E4" s="863"/>
      <c r="F4" s="863"/>
      <c r="G4" s="864"/>
      <c r="H4" s="779"/>
    </row>
    <row r="5" spans="1:8" s="45" customFormat="1" ht="15" customHeight="1">
      <c r="A5" s="380" t="s">
        <v>471</v>
      </c>
      <c r="B5" s="862"/>
      <c r="C5" s="862"/>
      <c r="D5" s="862"/>
      <c r="E5" s="863"/>
      <c r="F5" s="863"/>
      <c r="G5" s="864"/>
      <c r="H5" s="779"/>
    </row>
    <row r="6" spans="1:7" ht="15" customHeight="1">
      <c r="A6" s="17"/>
      <c r="E6" s="337"/>
      <c r="F6" s="337"/>
      <c r="G6" s="337"/>
    </row>
    <row r="7" spans="1:7" ht="30" customHeight="1">
      <c r="A7" s="47"/>
      <c r="B7" s="310" t="s">
        <v>465</v>
      </c>
      <c r="C7" s="310" t="s">
        <v>193</v>
      </c>
      <c r="D7" s="310" t="s">
        <v>42</v>
      </c>
      <c r="E7" s="865" t="s">
        <v>46</v>
      </c>
      <c r="F7" s="865" t="s">
        <v>466</v>
      </c>
      <c r="G7" s="866" t="s">
        <v>252</v>
      </c>
    </row>
    <row r="8" spans="1:7" ht="15" customHeight="1">
      <c r="A8" s="17"/>
      <c r="E8" s="337"/>
      <c r="F8" s="337"/>
      <c r="G8" s="337"/>
    </row>
    <row r="9" spans="1:7" ht="30" customHeight="1">
      <c r="A9" s="867" t="s">
        <v>464</v>
      </c>
      <c r="B9" s="311"/>
      <c r="C9" s="311"/>
      <c r="D9" s="311"/>
      <c r="G9" s="868"/>
    </row>
    <row r="10" spans="1:38" ht="15" customHeight="1">
      <c r="A10" s="18" t="s">
        <v>376</v>
      </c>
      <c r="B10" s="869">
        <f>'[11]Loss Expenses QTD-10'!L34</f>
        <v>1133.16</v>
      </c>
      <c r="C10" s="869">
        <f>'[11]Loss Expenses QTD-10'!L28</f>
        <v>217741.5</v>
      </c>
      <c r="D10" s="869">
        <f>'[11]Loss Expenses QTD-10'!L22</f>
        <v>64031.2</v>
      </c>
      <c r="E10" s="869">
        <f>'[11]Loss Expenses QTD-10'!L16</f>
        <v>8653.130000000001</v>
      </c>
      <c r="F10" s="869">
        <f>'[11]Loss Expenses QTD-10'!L10</f>
        <v>5728.14</v>
      </c>
      <c r="G10" s="869">
        <f>SUM(B10:F10)</f>
        <v>297287.13</v>
      </c>
      <c r="H10" s="122"/>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row>
    <row r="11" spans="1:38" s="23" customFormat="1" ht="15" customHeight="1">
      <c r="A11" s="23" t="s">
        <v>377</v>
      </c>
      <c r="B11" s="122">
        <f>'[11]Loss Expenses QTD-10'!L35</f>
        <v>1569.4</v>
      </c>
      <c r="C11" s="122">
        <f>'[11]Loss Expenses QTD-10'!L29</f>
        <v>89797.51000000001</v>
      </c>
      <c r="D11" s="122">
        <f>'[11]Loss Expenses QTD-10'!L23</f>
        <v>26097.77</v>
      </c>
      <c r="E11" s="122">
        <f>'[11]Loss Expenses QTD-10'!L17</f>
        <v>15571.28</v>
      </c>
      <c r="F11" s="122">
        <f>'[11]Loss Expenses QTD-10'!L11</f>
        <v>0</v>
      </c>
      <c r="G11" s="122">
        <f>SUM(B11:F11)</f>
        <v>133035.96000000002</v>
      </c>
      <c r="H11" s="122"/>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row>
    <row r="12" spans="1:38" s="23" customFormat="1" ht="15" customHeight="1">
      <c r="A12" s="23" t="s">
        <v>378</v>
      </c>
      <c r="B12" s="122">
        <f>'[11]Loss Expenses QTD-10'!L36</f>
        <v>0</v>
      </c>
      <c r="C12" s="122">
        <f>'[11]Loss Expenses QTD-10'!L30</f>
        <v>357.55</v>
      </c>
      <c r="D12" s="122">
        <f>'[11]Loss Expenses QTD-10'!L24</f>
        <v>0</v>
      </c>
      <c r="E12" s="122">
        <f>'[11]Loss Expenses QTD-10'!L18</f>
        <v>0</v>
      </c>
      <c r="F12" s="122">
        <f>'[11]Loss Expenses QTD-10'!L12</f>
        <v>0</v>
      </c>
      <c r="G12" s="122">
        <f>SUM(B12:F12)</f>
        <v>357.55</v>
      </c>
      <c r="H12" s="122"/>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row>
    <row r="13" spans="1:38" s="23" customFormat="1" ht="15" customHeight="1" thickBot="1">
      <c r="A13" s="870" t="s">
        <v>379</v>
      </c>
      <c r="B13" s="332">
        <f>SUM(B10:B12)-1</f>
        <v>2701.5600000000004</v>
      </c>
      <c r="C13" s="332">
        <f>SUM(C10:C12)+1</f>
        <v>307897.56</v>
      </c>
      <c r="D13" s="332">
        <f>SUM(D10:D12)</f>
        <v>90128.97</v>
      </c>
      <c r="E13" s="332">
        <f>SUM(E10:E12)</f>
        <v>24224.410000000003</v>
      </c>
      <c r="F13" s="332">
        <f>SUM(F10:F12)</f>
        <v>5728.14</v>
      </c>
      <c r="G13" s="129">
        <f>SUM(G10:G12)</f>
        <v>430680.64</v>
      </c>
      <c r="H13" s="334"/>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row>
    <row r="14" spans="2:38" s="23" customFormat="1" ht="15" customHeight="1" thickTop="1">
      <c r="B14" s="126"/>
      <c r="C14" s="126"/>
      <c r="D14" s="126"/>
      <c r="E14" s="122"/>
      <c r="F14" s="122"/>
      <c r="G14" s="127"/>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row>
    <row r="15" spans="1:38" s="23" customFormat="1" ht="30" customHeight="1">
      <c r="A15" s="871" t="s">
        <v>477</v>
      </c>
      <c r="B15" s="126"/>
      <c r="C15" s="126"/>
      <c r="D15" s="126"/>
      <c r="E15" s="122"/>
      <c r="F15" s="122"/>
      <c r="G15" s="334"/>
      <c r="H15" s="122"/>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row>
    <row r="16" spans="1:38" s="23" customFormat="1" ht="15" customHeight="1">
      <c r="A16" s="18" t="s">
        <v>376</v>
      </c>
      <c r="B16" s="126">
        <f>'[11]ALAE &amp; ULAE Calculation-9'!B23</f>
        <v>223968.58000000002</v>
      </c>
      <c r="C16" s="126">
        <f>'[11]ALAE &amp; ULAE Calculation-9'!C23</f>
        <v>215023.41999999998</v>
      </c>
      <c r="D16" s="126">
        <f>'[11]ALAE &amp; ULAE Calculation-9'!D23</f>
        <v>75686.08</v>
      </c>
      <c r="E16" s="122">
        <f>'[11]ALAE &amp; ULAE Calculation-9'!E23</f>
        <v>22133.71</v>
      </c>
      <c r="F16" s="122">
        <f>'[11]ALAE &amp; ULAE Calculation-9'!F23</f>
        <v>18943.12</v>
      </c>
      <c r="G16" s="122">
        <f>SUM(B16:F16)</f>
        <v>555754.91</v>
      </c>
      <c r="H16" s="122"/>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row>
    <row r="17" spans="1:38" s="23" customFormat="1" ht="15" customHeight="1">
      <c r="A17" s="23" t="s">
        <v>377</v>
      </c>
      <c r="B17" s="126">
        <f>'[11]ALAE &amp; ULAE Calculation-9'!B24</f>
        <v>5554.6900000000005</v>
      </c>
      <c r="C17" s="126">
        <f>'[11]ALAE &amp; ULAE Calculation-9'!C24</f>
        <v>20723.16</v>
      </c>
      <c r="D17" s="126">
        <f>'[11]ALAE &amp; ULAE Calculation-9'!D24</f>
        <v>13260.63</v>
      </c>
      <c r="E17" s="122">
        <f>'[11]ALAE &amp; ULAE Calculation-9'!E24</f>
        <v>2399.5099999999998</v>
      </c>
      <c r="F17" s="122">
        <f>'[11]ALAE &amp; ULAE Calculation-9'!F24</f>
        <v>0</v>
      </c>
      <c r="G17" s="122">
        <f>SUM(B17:F17)+1</f>
        <v>41938.99</v>
      </c>
      <c r="H17" s="122"/>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s="23" customFormat="1" ht="15" customHeight="1">
      <c r="A18" s="23" t="s">
        <v>378</v>
      </c>
      <c r="B18" s="126">
        <f>'[11]ALAE &amp; ULAE Calculation-9'!B25</f>
        <v>0</v>
      </c>
      <c r="C18" s="126">
        <f>'[11]ALAE &amp; ULAE Calculation-9'!C25</f>
        <v>0</v>
      </c>
      <c r="D18" s="872">
        <f>'[11]ALAE &amp; ULAE Calculation-9'!D25</f>
        <v>0</v>
      </c>
      <c r="E18" s="122">
        <f>'[11]ALAE &amp; ULAE Calculation-9'!E25</f>
        <v>0</v>
      </c>
      <c r="F18" s="122">
        <f>'[11]ALAE &amp; ULAE Calculation-9'!F25</f>
        <v>0</v>
      </c>
      <c r="G18" s="122">
        <f>SUM(B18:F18)</f>
        <v>0</v>
      </c>
      <c r="H18" s="122"/>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row>
    <row r="19" spans="1:38" s="23" customFormat="1" ht="15" customHeight="1" thickBot="1">
      <c r="A19" s="870" t="s">
        <v>379</v>
      </c>
      <c r="B19" s="138">
        <f>SUM(B16:B18)+1</f>
        <v>229524.27000000002</v>
      </c>
      <c r="C19" s="138">
        <f>SUM(C16:C18)-1</f>
        <v>235745.58</v>
      </c>
      <c r="D19" s="138">
        <f>SUM(D16:D18)</f>
        <v>88946.71</v>
      </c>
      <c r="E19" s="332">
        <f>SUM(E16:E18)+1</f>
        <v>24534.219999999998</v>
      </c>
      <c r="F19" s="332">
        <f>SUM(F16:F18)</f>
        <v>18943.12</v>
      </c>
      <c r="G19" s="129">
        <f>SUM(G16:G18)</f>
        <v>597693.9</v>
      </c>
      <c r="H19" s="334"/>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row>
    <row r="20" spans="2:38" s="23" customFormat="1" ht="15" customHeight="1" thickTop="1">
      <c r="B20" s="126"/>
      <c r="C20" s="126"/>
      <c r="D20" s="126"/>
      <c r="E20" s="122"/>
      <c r="F20" s="122"/>
      <c r="G20" s="127"/>
      <c r="H20" s="873"/>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row>
    <row r="21" spans="1:38" s="23" customFormat="1" ht="30" customHeight="1">
      <c r="A21" s="871" t="s">
        <v>478</v>
      </c>
      <c r="B21" s="312"/>
      <c r="C21" s="312"/>
      <c r="D21" s="312"/>
      <c r="E21" s="566"/>
      <c r="F21" s="566"/>
      <c r="G21" s="334"/>
      <c r="H21" s="122"/>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row>
    <row r="22" spans="1:38" s="23" customFormat="1" ht="15" customHeight="1">
      <c r="A22" s="18" t="s">
        <v>376</v>
      </c>
      <c r="B22" s="126">
        <v>0</v>
      </c>
      <c r="C22" s="126">
        <v>386392.94</v>
      </c>
      <c r="D22" s="126">
        <v>156600.62</v>
      </c>
      <c r="E22" s="122">
        <v>24674.83</v>
      </c>
      <c r="F22" s="122">
        <f>9793.1+3873</f>
        <v>13666.1</v>
      </c>
      <c r="G22" s="122">
        <f>SUM(B22:F22)+1</f>
        <v>581335.49</v>
      </c>
      <c r="H22" s="122"/>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row>
    <row r="23" spans="1:38" s="23" customFormat="1" ht="15" customHeight="1">
      <c r="A23" s="23" t="s">
        <v>399</v>
      </c>
      <c r="B23" s="126">
        <v>0</v>
      </c>
      <c r="C23" s="126">
        <v>41482.28</v>
      </c>
      <c r="D23" s="126">
        <v>17300.4</v>
      </c>
      <c r="E23" s="122">
        <v>2461.62</v>
      </c>
      <c r="F23" s="122">
        <v>0</v>
      </c>
      <c r="G23" s="122">
        <f>SUM(B23:F23)</f>
        <v>61244.3</v>
      </c>
      <c r="H23" s="122"/>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4" spans="1:38" s="23" customFormat="1" ht="15" customHeight="1">
      <c r="A24" s="23" t="s">
        <v>378</v>
      </c>
      <c r="B24" s="126">
        <v>0</v>
      </c>
      <c r="C24" s="126">
        <v>0</v>
      </c>
      <c r="D24" s="126">
        <v>0</v>
      </c>
      <c r="E24" s="122">
        <v>0</v>
      </c>
      <c r="F24" s="122">
        <v>0</v>
      </c>
      <c r="G24" s="122">
        <f>SUM(B24:F24)</f>
        <v>0</v>
      </c>
      <c r="H24" s="122"/>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row>
    <row r="25" spans="1:38" s="23" customFormat="1" ht="15" customHeight="1" thickBot="1">
      <c r="A25" s="870" t="s">
        <v>379</v>
      </c>
      <c r="B25" s="138">
        <f>SUM(B22:B24)</f>
        <v>0</v>
      </c>
      <c r="C25" s="138">
        <f>SUM(C22:C24)</f>
        <v>427875.22</v>
      </c>
      <c r="D25" s="138">
        <f>SUM(D22:D24)</f>
        <v>173901.02</v>
      </c>
      <c r="E25" s="332">
        <f>SUM(E22:E24)+1</f>
        <v>27137.45</v>
      </c>
      <c r="F25" s="332">
        <f>SUM(F22:F24)</f>
        <v>13666.1</v>
      </c>
      <c r="G25" s="129">
        <f>SUM(G22:G24)-1</f>
        <v>642578.79</v>
      </c>
      <c r="H25" s="334"/>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row>
    <row r="26" spans="2:38" s="303" customFormat="1" ht="15" customHeight="1" thickTop="1">
      <c r="B26" s="312"/>
      <c r="C26" s="312"/>
      <c r="D26" s="312"/>
      <c r="E26" s="312"/>
      <c r="F26" s="312"/>
      <c r="G26" s="312"/>
      <c r="H26" s="304"/>
      <c r="I26" s="874"/>
      <c r="J26" s="874"/>
      <c r="K26" s="874"/>
      <c r="L26" s="874"/>
      <c r="M26" s="874"/>
      <c r="N26" s="874"/>
      <c r="O26" s="874"/>
      <c r="P26" s="874"/>
      <c r="Q26" s="874"/>
      <c r="R26" s="874"/>
      <c r="S26" s="874"/>
      <c r="T26" s="874"/>
      <c r="U26" s="874"/>
      <c r="V26" s="874"/>
      <c r="W26" s="874"/>
      <c r="X26" s="874"/>
      <c r="Y26" s="874"/>
      <c r="Z26" s="874"/>
      <c r="AA26" s="874"/>
      <c r="AB26" s="874"/>
      <c r="AC26" s="874"/>
      <c r="AD26" s="874"/>
      <c r="AE26" s="874"/>
      <c r="AF26" s="874"/>
      <c r="AG26" s="874"/>
      <c r="AH26" s="874"/>
      <c r="AI26" s="874"/>
      <c r="AJ26" s="874"/>
      <c r="AK26" s="874"/>
      <c r="AL26" s="874"/>
    </row>
    <row r="27" spans="1:38" s="23" customFormat="1" ht="30" customHeight="1">
      <c r="A27" s="871" t="s">
        <v>479</v>
      </c>
      <c r="B27" s="126"/>
      <c r="C27" s="126"/>
      <c r="D27" s="126"/>
      <c r="E27" s="126"/>
      <c r="F27" s="126"/>
      <c r="G27" s="126"/>
      <c r="H27" s="122"/>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row>
    <row r="28" spans="1:38" s="23" customFormat="1" ht="15" customHeight="1">
      <c r="A28" s="23" t="s">
        <v>376</v>
      </c>
      <c r="B28" s="122">
        <f aca="true" t="shared" si="0" ref="B28:F30">B10+B16-B22</f>
        <v>225101.74000000002</v>
      </c>
      <c r="C28" s="122">
        <f>C10+C16-C22</f>
        <v>46371.97999999998</v>
      </c>
      <c r="D28" s="122">
        <f>D10+D16-D22-1</f>
        <v>-16884.339999999997</v>
      </c>
      <c r="E28" s="122">
        <f t="shared" si="0"/>
        <v>6112.009999999998</v>
      </c>
      <c r="F28" s="122">
        <f>F10+F16-F22</f>
        <v>11005.159999999998</v>
      </c>
      <c r="G28" s="122">
        <f>SUM(B28:F28)</f>
        <v>271706.55</v>
      </c>
      <c r="H28" s="122"/>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8" s="23" customFormat="1" ht="15" customHeight="1">
      <c r="A29" s="23" t="s">
        <v>377</v>
      </c>
      <c r="B29" s="122">
        <f>B11+B17-B23</f>
        <v>7124.09</v>
      </c>
      <c r="C29" s="122">
        <f>C11+C17-C23+1</f>
        <v>69039.39000000001</v>
      </c>
      <c r="D29" s="122">
        <f>D11+D17-D23+1</f>
        <v>22059</v>
      </c>
      <c r="E29" s="122">
        <f t="shared" si="0"/>
        <v>15509.170000000002</v>
      </c>
      <c r="F29" s="122">
        <f t="shared" si="0"/>
        <v>0</v>
      </c>
      <c r="G29" s="122">
        <f>SUM(B29:F29)-1</f>
        <v>113730.65000000001</v>
      </c>
      <c r="H29" s="122"/>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row>
    <row r="30" spans="1:38" s="23" customFormat="1" ht="15" customHeight="1">
      <c r="A30" s="23" t="s">
        <v>378</v>
      </c>
      <c r="B30" s="122">
        <f t="shared" si="0"/>
        <v>0</v>
      </c>
      <c r="C30" s="122">
        <f t="shared" si="0"/>
        <v>357.55</v>
      </c>
      <c r="D30" s="122">
        <f t="shared" si="0"/>
        <v>0</v>
      </c>
      <c r="E30" s="122">
        <f t="shared" si="0"/>
        <v>0</v>
      </c>
      <c r="F30" s="122">
        <f t="shared" si="0"/>
        <v>0</v>
      </c>
      <c r="G30" s="122">
        <f>SUM(B30:F30)</f>
        <v>357.55</v>
      </c>
      <c r="H30" s="122"/>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row>
    <row r="31" spans="1:38" ht="15" customHeight="1" thickBot="1">
      <c r="A31" s="117" t="s">
        <v>379</v>
      </c>
      <c r="B31" s="345">
        <f>SUM(B28:B30)</f>
        <v>232225.83000000002</v>
      </c>
      <c r="C31" s="345">
        <f>SUM(C28:C30)</f>
        <v>115768.92</v>
      </c>
      <c r="D31" s="345">
        <f>SUM(D28:D30)</f>
        <v>5174.6600000000035</v>
      </c>
      <c r="E31" s="345">
        <f>SUM(E28:E30)</f>
        <v>21621.18</v>
      </c>
      <c r="F31" s="345">
        <f>SUM(F28:F30)</f>
        <v>11005.159999999998</v>
      </c>
      <c r="G31" s="345">
        <f>SUM(G28:G30)+1</f>
        <v>385795.75</v>
      </c>
      <c r="H31" s="122"/>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row>
    <row r="32" spans="2:39" ht="15" customHeight="1" thickTop="1">
      <c r="B32" s="256"/>
      <c r="C32" s="256"/>
      <c r="D32" s="256"/>
      <c r="G32" s="122"/>
      <c r="I32" s="875"/>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row>
    <row r="33" spans="2:39" s="127" customFormat="1" ht="15" customHeight="1">
      <c r="B33" s="256"/>
      <c r="C33" s="256"/>
      <c r="D33" s="256"/>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2:39" ht="15" customHeight="1">
      <c r="B34" s="256"/>
      <c r="C34" s="256"/>
      <c r="D34" s="256"/>
      <c r="G34" s="122"/>
      <c r="H34" s="122"/>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pans="2:39" ht="15" customHeight="1">
      <c r="B35" s="256"/>
      <c r="C35" s="256"/>
      <c r="D35" s="256"/>
      <c r="G35" s="122"/>
      <c r="H35" s="122"/>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2:39" ht="15" customHeight="1">
      <c r="B36" s="256"/>
      <c r="C36" s="256"/>
      <c r="D36" s="256"/>
      <c r="G36" s="122"/>
      <c r="H36" s="122"/>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2:39" ht="15" customHeight="1">
      <c r="B37" s="256"/>
      <c r="C37" s="256"/>
      <c r="D37" s="256"/>
      <c r="G37" s="122"/>
      <c r="H37" s="122"/>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pans="2:39" ht="15" customHeight="1">
      <c r="B38" s="256"/>
      <c r="C38" s="256"/>
      <c r="D38" s="256"/>
      <c r="G38" s="122"/>
      <c r="H38" s="122"/>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7:39" ht="15" customHeight="1">
      <c r="G39" s="122"/>
      <c r="H39" s="122"/>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spans="7:39" ht="15" customHeight="1">
      <c r="G40" s="122"/>
      <c r="H40" s="122"/>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pans="7:39" ht="15" customHeight="1">
      <c r="G41" s="122"/>
      <c r="H41" s="122"/>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pans="7:39" ht="15" customHeight="1">
      <c r="G42" s="122"/>
      <c r="H42" s="122"/>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row>
    <row r="43" spans="7:39" ht="15" customHeight="1">
      <c r="G43" s="122"/>
      <c r="H43" s="122"/>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row>
    <row r="44" spans="7:39" ht="15" customHeight="1">
      <c r="G44" s="122"/>
      <c r="H44" s="122"/>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pans="7:39" ht="15" customHeight="1">
      <c r="G45" s="122"/>
      <c r="H45" s="122"/>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pans="7:39" ht="15" customHeight="1">
      <c r="G46" s="122"/>
      <c r="H46" s="122"/>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pans="7:39" ht="15" customHeight="1">
      <c r="G47" s="122"/>
      <c r="H47" s="122"/>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pans="7:39" ht="15" customHeight="1">
      <c r="G48" s="122"/>
      <c r="H48" s="122"/>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7:39" ht="15" customHeight="1">
      <c r="G49" s="122"/>
      <c r="H49" s="122"/>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7:39" ht="15" customHeight="1">
      <c r="G50" s="122"/>
      <c r="H50" s="122"/>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pans="7:39" ht="15" customHeight="1">
      <c r="G51" s="122"/>
      <c r="H51" s="122"/>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pans="7:39" ht="15" customHeight="1">
      <c r="G52" s="122"/>
      <c r="H52" s="122"/>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pans="7:39" ht="15" customHeight="1">
      <c r="G53" s="122"/>
      <c r="H53" s="122"/>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pans="7:39" ht="15" customHeight="1">
      <c r="G54" s="122"/>
      <c r="H54" s="122"/>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pans="7:39" ht="15" customHeight="1">
      <c r="G55" s="122"/>
      <c r="H55" s="12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7:39" ht="15" customHeight="1">
      <c r="G56" s="122"/>
      <c r="H56" s="122"/>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pans="7:39" ht="15" customHeight="1">
      <c r="G57" s="122"/>
      <c r="H57" s="122"/>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row>
    <row r="58" spans="7:39" ht="15" customHeight="1">
      <c r="G58" s="122"/>
      <c r="H58" s="122"/>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row>
    <row r="59" spans="7:39" ht="15" customHeight="1">
      <c r="G59" s="122"/>
      <c r="H59" s="122"/>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row>
    <row r="60" spans="7:39" ht="15" customHeight="1">
      <c r="G60" s="122"/>
      <c r="H60" s="122"/>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1" spans="7:39" ht="15" customHeight="1">
      <c r="G61" s="122"/>
      <c r="H61" s="122"/>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row>
    <row r="62" spans="7:39" ht="15" customHeight="1">
      <c r="G62" s="122"/>
      <c r="H62" s="122"/>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pans="7:39" ht="15" customHeight="1">
      <c r="G63" s="122"/>
      <c r="H63" s="122"/>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7:39" ht="15" customHeight="1">
      <c r="G64" s="122"/>
      <c r="H64" s="122"/>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spans="7:39" ht="15" customHeight="1">
      <c r="G65" s="122"/>
      <c r="H65" s="122"/>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row>
    <row r="66" spans="7:39" ht="15" customHeight="1">
      <c r="G66" s="122"/>
      <c r="H66" s="122"/>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row>
    <row r="67" spans="7:39" ht="15" customHeight="1">
      <c r="G67" s="122"/>
      <c r="H67" s="122"/>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row>
    <row r="68" spans="7:39" ht="15" customHeight="1">
      <c r="G68" s="122"/>
      <c r="H68" s="122"/>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row>
    <row r="69" spans="7:39" ht="15" customHeight="1">
      <c r="G69" s="122"/>
      <c r="H69" s="122"/>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row>
    <row r="70" spans="7:39" ht="15" customHeight="1">
      <c r="G70" s="122"/>
      <c r="H70" s="122"/>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row>
    <row r="71" spans="7:39" ht="15" customHeight="1">
      <c r="G71" s="122"/>
      <c r="H71" s="122"/>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row>
    <row r="72" spans="7:39" ht="15" customHeight="1">
      <c r="G72" s="122"/>
      <c r="H72" s="122"/>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7:39" ht="15" customHeight="1">
      <c r="G73" s="122"/>
      <c r="H73" s="122"/>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row>
    <row r="74" spans="7:39" ht="15" customHeight="1">
      <c r="G74" s="122"/>
      <c r="H74" s="122"/>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row>
    <row r="75" spans="7:39" ht="15" customHeight="1">
      <c r="G75" s="122"/>
      <c r="H75" s="122"/>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7:39" ht="15" customHeight="1">
      <c r="G76" s="122"/>
      <c r="H76" s="122"/>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row>
    <row r="77" spans="7:39" ht="15" customHeight="1">
      <c r="G77" s="122"/>
      <c r="H77" s="122"/>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row>
    <row r="78" spans="7:39" ht="15" customHeight="1">
      <c r="G78" s="122"/>
      <c r="H78" s="122"/>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row>
    <row r="79" spans="7:39" ht="15" customHeight="1">
      <c r="G79" s="122"/>
      <c r="H79" s="122"/>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row>
    <row r="80" spans="7:39" ht="15" customHeight="1">
      <c r="G80" s="122"/>
      <c r="H80" s="122"/>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row>
  </sheetData>
  <printOptions horizontalCentered="1"/>
  <pageMargins left="0.25" right="0.25" top="0.5" bottom="0.5" header="0" footer="0"/>
  <pageSetup horizontalDpi="300" verticalDpi="300" orientation="landscape" scale="80" r:id="rId1"/>
  <headerFooter alignWithMargins="0">
    <oddFooter>&amp;C&amp;"Century Schoolbook,Regular"Page 7&amp;"Arial,Regular"
</oddFooter>
  </headerFooter>
</worksheet>
</file>

<file path=xl/worksheets/sheet14.xml><?xml version="1.0" encoding="utf-8"?>
<worksheet xmlns="http://schemas.openxmlformats.org/spreadsheetml/2006/main" xmlns:r="http://schemas.openxmlformats.org/officeDocument/2006/relationships">
  <dimension ref="A1:I45"/>
  <sheetViews>
    <sheetView zoomScale="75" zoomScaleNormal="75" workbookViewId="0" topLeftCell="A1">
      <selection activeCell="C15" sqref="C15"/>
    </sheetView>
  </sheetViews>
  <sheetFormatPr defaultColWidth="9.140625" defaultRowHeight="12.75"/>
  <cols>
    <col min="1" max="1" width="44.00390625" style="18" customWidth="1"/>
    <col min="2" max="3" width="19.7109375" style="172" customWidth="1"/>
    <col min="4" max="4" width="19.140625" style="127" customWidth="1"/>
    <col min="5" max="5" width="18.57421875" style="127" customWidth="1"/>
    <col min="6" max="6" width="18.28125" style="127" customWidth="1"/>
    <col min="7" max="7" width="20.140625" style="127" customWidth="1"/>
    <col min="8" max="8" width="18.421875" style="18" customWidth="1"/>
    <col min="9" max="9" width="14.57421875" style="18" bestFit="1" customWidth="1"/>
    <col min="10" max="10" width="18.57421875" style="18" bestFit="1" customWidth="1"/>
    <col min="11" max="16384" width="9.140625" style="18" customWidth="1"/>
  </cols>
  <sheetData>
    <row r="1" spans="1:7" s="262" customFormat="1" ht="27">
      <c r="A1" s="261" t="s">
        <v>251</v>
      </c>
      <c r="B1" s="307"/>
      <c r="C1" s="307"/>
      <c r="D1" s="324"/>
      <c r="E1" s="324"/>
      <c r="F1" s="324"/>
      <c r="G1" s="325"/>
    </row>
    <row r="2" spans="1:7" ht="19.5" customHeight="1">
      <c r="A2" s="19"/>
      <c r="B2" s="308"/>
      <c r="C2" s="308"/>
      <c r="D2" s="326"/>
      <c r="E2" s="326"/>
      <c r="F2" s="308"/>
      <c r="G2" s="308"/>
    </row>
    <row r="3" spans="1:7" s="103" customFormat="1" ht="18.75">
      <c r="A3" s="102" t="s">
        <v>385</v>
      </c>
      <c r="B3" s="309"/>
      <c r="C3" s="309"/>
      <c r="D3" s="327"/>
      <c r="E3" s="327"/>
      <c r="F3" s="328"/>
      <c r="G3" s="308"/>
    </row>
    <row r="4" spans="1:7" s="103" customFormat="1" ht="18.75">
      <c r="A4" s="102" t="str">
        <f>+'(7)Premiums YTD8'!A4</f>
        <v>YTD PERIOD MARCH 31st, 2004</v>
      </c>
      <c r="B4" s="309"/>
      <c r="C4" s="309"/>
      <c r="D4" s="327"/>
      <c r="E4" s="327"/>
      <c r="F4" s="329"/>
      <c r="G4" s="308"/>
    </row>
    <row r="5" spans="1:7" s="103" customFormat="1" ht="16.5">
      <c r="A5" s="26"/>
      <c r="B5" s="309"/>
      <c r="C5" s="309"/>
      <c r="D5" s="308"/>
      <c r="E5" s="308"/>
      <c r="F5" s="328"/>
      <c r="G5" s="328"/>
    </row>
    <row r="6" spans="1:7" ht="30" customHeight="1">
      <c r="A6" s="104"/>
      <c r="B6" s="310" t="s">
        <v>42</v>
      </c>
      <c r="C6" s="310" t="s">
        <v>46</v>
      </c>
      <c r="D6" s="322" t="s">
        <v>142</v>
      </c>
      <c r="E6" s="322" t="s">
        <v>213</v>
      </c>
      <c r="F6" s="322" t="s">
        <v>97</v>
      </c>
      <c r="G6" s="323" t="s">
        <v>252</v>
      </c>
    </row>
    <row r="7" spans="1:7" ht="15.75">
      <c r="A7" s="105" t="s">
        <v>386</v>
      </c>
      <c r="D7" s="330"/>
      <c r="E7" s="330"/>
      <c r="F7" s="330"/>
      <c r="G7" s="330"/>
    </row>
    <row r="8" spans="1:8" ht="15">
      <c r="A8" s="105" t="s">
        <v>387</v>
      </c>
      <c r="B8" s="311"/>
      <c r="C8" s="311"/>
      <c r="D8" s="330"/>
      <c r="E8" s="330"/>
      <c r="F8" s="330"/>
      <c r="G8" s="330"/>
      <c r="H8" s="114"/>
    </row>
    <row r="9" spans="1:8" ht="14.25">
      <c r="A9" s="106" t="s">
        <v>388</v>
      </c>
      <c r="B9" s="122">
        <f>+'[1]TB03-31-04(Final)'!F371</f>
        <v>0</v>
      </c>
      <c r="C9" s="122">
        <f>+'[1]TB03-31-04(Final)'!F370</f>
        <v>0</v>
      </c>
      <c r="D9" s="122">
        <f>+'[1]TB03-31-04(Final)'!F368</f>
        <v>1626410.46</v>
      </c>
      <c r="E9" s="122">
        <f>+'[1]TB03-31-04(Final)'!F367</f>
        <v>1371608.06</v>
      </c>
      <c r="F9" s="122">
        <f>SUM('[1]TB03-31-04(Final)'!F363:F366)+'[1]TB03-31-04(Final)'!G396</f>
        <v>60650</v>
      </c>
      <c r="G9" s="122">
        <f>SUM(B9:F9)</f>
        <v>3058668.52</v>
      </c>
      <c r="H9" s="25" t="s">
        <v>234</v>
      </c>
    </row>
    <row r="10" spans="1:8" s="23" customFormat="1" ht="14.25">
      <c r="A10" s="107" t="s">
        <v>389</v>
      </c>
      <c r="B10" s="315" t="e">
        <f>+'[1]TB03-31-04(Final)'!F379</f>
        <v>#REF!</v>
      </c>
      <c r="C10" s="315" t="e">
        <f>+'[1]TB03-31-04(Final)'!D378+'[1]TB03-31-04(Final)'!#REF!</f>
        <v>#REF!</v>
      </c>
      <c r="D10" s="315" t="e">
        <f>+'[1]TB03-31-04(Final)'!F376+'[1]TB03-31-04(Final)'!F405</f>
        <v>#REF!</v>
      </c>
      <c r="E10" s="315">
        <f>+'[1]TB03-31-04(Final)'!F375</f>
        <v>69982.57</v>
      </c>
      <c r="F10" s="315" t="e">
        <f>SUM('[1]TB03-31-04(Final)'!F372:F374)+'[1]TB03-31-04(Final)'!G400</f>
        <v>#REF!</v>
      </c>
      <c r="G10" s="331" t="e">
        <f>SUM(B10:F10)</f>
        <v>#REF!</v>
      </c>
      <c r="H10" s="25" t="s">
        <v>235</v>
      </c>
    </row>
    <row r="11" spans="1:8" s="23" customFormat="1" ht="14.25">
      <c r="A11" s="107" t="s">
        <v>390</v>
      </c>
      <c r="B11" s="315" t="e">
        <f>+'[1]TB03-31-04(Final)'!D386</f>
        <v>#REF!</v>
      </c>
      <c r="C11" s="315" t="e">
        <f>+'[1]TB03-31-04(Final)'!F385</f>
        <v>#REF!</v>
      </c>
      <c r="D11" s="315" t="e">
        <f>+'[1]TB03-31-04(Final)'!F384</f>
        <v>#REF!</v>
      </c>
      <c r="E11" s="315">
        <f>+'[1]TB03-31-04(Final)'!F382</f>
        <v>0</v>
      </c>
      <c r="F11" s="315">
        <f>+'[1]TB03-31-04(Final)'!F381</f>
        <v>0</v>
      </c>
      <c r="G11" s="331" t="e">
        <f>SUM(B11:F11)</f>
        <v>#REF!</v>
      </c>
      <c r="H11" s="25" t="s">
        <v>236</v>
      </c>
    </row>
    <row r="12" spans="1:8" s="23" customFormat="1" ht="15.75" thickBot="1">
      <c r="A12" s="108" t="s">
        <v>379</v>
      </c>
      <c r="B12" s="138" t="e">
        <f aca="true" t="shared" si="0" ref="B12:G12">SUM(B9:B11)</f>
        <v>#REF!</v>
      </c>
      <c r="C12" s="138" t="e">
        <f t="shared" si="0"/>
        <v>#REF!</v>
      </c>
      <c r="D12" s="332" t="e">
        <f t="shared" si="0"/>
        <v>#REF!</v>
      </c>
      <c r="E12" s="332">
        <f t="shared" si="0"/>
        <v>1441590.6300000001</v>
      </c>
      <c r="F12" s="332" t="e">
        <f t="shared" si="0"/>
        <v>#REF!</v>
      </c>
      <c r="G12" s="129" t="e">
        <f t="shared" si="0"/>
        <v>#REF!</v>
      </c>
      <c r="H12" s="23">
        <f>+'[1]TB03-31-04(Final)'!E407</f>
        <v>3783761.3799999994</v>
      </c>
    </row>
    <row r="13" spans="1:8" s="23" customFormat="1" ht="15" thickTop="1">
      <c r="A13" s="106"/>
      <c r="B13" s="126"/>
      <c r="C13" s="126"/>
      <c r="D13" s="331"/>
      <c r="E13" s="331"/>
      <c r="F13" s="331"/>
      <c r="G13" s="331"/>
      <c r="H13" s="23" t="e">
        <f>+G12-H12</f>
        <v>#REF!</v>
      </c>
    </row>
    <row r="14" spans="1:7" s="23" customFormat="1" ht="15">
      <c r="A14" s="105" t="s">
        <v>151</v>
      </c>
      <c r="B14" s="126"/>
      <c r="C14" s="126"/>
      <c r="D14" s="331"/>
      <c r="E14" s="331"/>
      <c r="F14" s="331"/>
      <c r="G14" s="331"/>
    </row>
    <row r="15" spans="1:7" s="23" customFormat="1" ht="14.25">
      <c r="A15" s="106" t="s">
        <v>391</v>
      </c>
      <c r="B15" s="331">
        <f>+'[1](1)IBNR Cal13'!D21</f>
        <v>388216.64</v>
      </c>
      <c r="C15" s="331">
        <f>+'[1](1)IBNR Cal13'!E21</f>
        <v>388216.64</v>
      </c>
      <c r="D15" s="331">
        <f>+'[1](1)IBNR Cal13'!E15</f>
        <v>86015</v>
      </c>
      <c r="E15" s="331">
        <f>+'[1](1)IBNR Cal13'!E9</f>
        <v>93733</v>
      </c>
      <c r="F15" s="331" t="e">
        <f>+'[1](1)IBNR Cal13'!#REF!</f>
        <v>#REF!</v>
      </c>
      <c r="G15" s="331" t="e">
        <f>SUM(B15:F15)</f>
        <v>#REF!</v>
      </c>
    </row>
    <row r="16" spans="1:7" s="23" customFormat="1" ht="14.25">
      <c r="A16" s="106" t="s">
        <v>392</v>
      </c>
      <c r="B16" s="331">
        <f>+'[1](1)IBNR Cal13'!D22</f>
        <v>137574.07</v>
      </c>
      <c r="C16" s="331">
        <f>+'[1](1)IBNR Cal13'!E22</f>
        <v>137574.07</v>
      </c>
      <c r="D16" s="331">
        <f>+'[1](1)IBNR Cal13'!E16</f>
        <v>6011</v>
      </c>
      <c r="E16" s="331">
        <f>+'[1](1)IBNR Cal13'!E10</f>
        <v>8</v>
      </c>
      <c r="F16" s="331" t="e">
        <f>+'[1](1)IBNR Cal13'!#REF!</f>
        <v>#REF!</v>
      </c>
      <c r="G16" s="331" t="e">
        <f>SUM(B16:F16)</f>
        <v>#REF!</v>
      </c>
    </row>
    <row r="17" spans="1:7" s="23" customFormat="1" ht="14.25">
      <c r="A17" s="106" t="s">
        <v>393</v>
      </c>
      <c r="B17" s="331">
        <f>+'[1](1)IBNR Cal13'!D23</f>
        <v>0</v>
      </c>
      <c r="C17" s="331">
        <f>+'[1](1)IBNR Cal13'!E23</f>
        <v>0</v>
      </c>
      <c r="D17" s="331">
        <f>+'[1](1)IBNR Cal13'!E17</f>
        <v>0</v>
      </c>
      <c r="E17" s="331">
        <f>+'[1](1)IBNR Cal13'!E11</f>
        <v>0</v>
      </c>
      <c r="F17" s="331" t="e">
        <f>+'[1](1)IBNR Cal13'!#REF!</f>
        <v>#REF!</v>
      </c>
      <c r="G17" s="331" t="e">
        <f>SUM(B17:F17)</f>
        <v>#REF!</v>
      </c>
    </row>
    <row r="18" spans="1:8" s="23" customFormat="1" ht="15">
      <c r="A18" s="108" t="s">
        <v>379</v>
      </c>
      <c r="B18" s="138">
        <f>SUM(B15:B17)+1</f>
        <v>525791.71</v>
      </c>
      <c r="C18" s="138">
        <f>SUM(C15:C17)+1</f>
        <v>525791.71</v>
      </c>
      <c r="D18" s="332">
        <f>SUM(D15:D17)+1</f>
        <v>92027</v>
      </c>
      <c r="E18" s="332">
        <f>SUM(E15:E17)</f>
        <v>93741</v>
      </c>
      <c r="F18" s="332" t="e">
        <f>SUM(F15:F17)</f>
        <v>#REF!</v>
      </c>
      <c r="G18" s="128" t="e">
        <f>SUM(G15:G17)</f>
        <v>#REF!</v>
      </c>
      <c r="H18" s="23">
        <f>+'[1](1)IBNR Cal13'!E42</f>
        <v>7846756.2299999995</v>
      </c>
    </row>
    <row r="19" spans="1:7" s="23" customFormat="1" ht="14.25">
      <c r="A19" s="106"/>
      <c r="B19" s="126"/>
      <c r="C19" s="126"/>
      <c r="D19" s="331"/>
      <c r="E19" s="331"/>
      <c r="F19" s="331"/>
      <c r="G19" s="331"/>
    </row>
    <row r="20" spans="1:7" s="23" customFormat="1" ht="15">
      <c r="A20" s="105" t="s">
        <v>202</v>
      </c>
      <c r="B20" s="312" t="s">
        <v>250</v>
      </c>
      <c r="C20" s="312" t="s">
        <v>250</v>
      </c>
      <c r="D20" s="331"/>
      <c r="E20" s="331"/>
      <c r="F20" s="331"/>
      <c r="G20" s="331"/>
    </row>
    <row r="21" spans="1:7" s="23" customFormat="1" ht="14.25">
      <c r="A21" s="106" t="s">
        <v>391</v>
      </c>
      <c r="B21" s="126">
        <v>0</v>
      </c>
      <c r="C21" s="126">
        <v>3812745.98</v>
      </c>
      <c r="D21" s="331">
        <v>796383.95</v>
      </c>
      <c r="E21" s="331">
        <v>173012</v>
      </c>
      <c r="F21" s="331">
        <f>4+76330.03</f>
        <v>76334.03</v>
      </c>
      <c r="G21" s="331">
        <f>SUM(B21:F21)</f>
        <v>4858475.96</v>
      </c>
    </row>
    <row r="22" spans="1:7" s="23" customFormat="1" ht="14.25">
      <c r="A22" s="106" t="s">
        <v>392</v>
      </c>
      <c r="B22" s="126">
        <v>0</v>
      </c>
      <c r="C22" s="126">
        <v>582572.89</v>
      </c>
      <c r="D22" s="331">
        <v>136273.61</v>
      </c>
      <c r="E22" s="331">
        <v>-982</v>
      </c>
      <c r="F22" s="331">
        <f>365.82+1967</f>
        <v>2332.82</v>
      </c>
      <c r="G22" s="331">
        <f>SUM(B22:F22)</f>
        <v>720197.32</v>
      </c>
    </row>
    <row r="23" spans="1:7" s="23" customFormat="1" ht="14.25">
      <c r="A23" s="106" t="s">
        <v>393</v>
      </c>
      <c r="B23" s="126">
        <v>0</v>
      </c>
      <c r="C23" s="126">
        <v>8803.51</v>
      </c>
      <c r="D23" s="331">
        <v>0</v>
      </c>
      <c r="E23" s="331">
        <v>0</v>
      </c>
      <c r="F23" s="331">
        <v>0</v>
      </c>
      <c r="G23" s="331">
        <f>SUM(B23:F23)</f>
        <v>8803.51</v>
      </c>
    </row>
    <row r="24" spans="1:8" s="23" customFormat="1" ht="15.75" thickBot="1">
      <c r="A24" s="108" t="s">
        <v>379</v>
      </c>
      <c r="B24" s="138">
        <f>SUM(B21:B23)</f>
        <v>0</v>
      </c>
      <c r="C24" s="138">
        <f>SUM(C21:C23)</f>
        <v>4404122.38</v>
      </c>
      <c r="D24" s="332">
        <f>SUM(D21:D23)</f>
        <v>932657.5599999999</v>
      </c>
      <c r="E24" s="332">
        <f>SUM(E21:E23)</f>
        <v>172030</v>
      </c>
      <c r="F24" s="332">
        <f>SUM(F21:F23)</f>
        <v>78666.85</v>
      </c>
      <c r="G24" s="129">
        <f>SUM(B24:F24)</f>
        <v>5587476.789999999</v>
      </c>
      <c r="H24" s="23">
        <f>SUM(G21:G23)</f>
        <v>5587476.79</v>
      </c>
    </row>
    <row r="25" spans="1:7" s="303" customFormat="1" ht="15" thickTop="1">
      <c r="A25" s="302"/>
      <c r="B25" s="312"/>
      <c r="C25" s="312"/>
      <c r="D25" s="312"/>
      <c r="E25" s="312"/>
      <c r="F25" s="312"/>
      <c r="G25" s="312"/>
    </row>
    <row r="26" spans="1:7" s="23" customFormat="1" ht="15">
      <c r="A26" s="105" t="s">
        <v>394</v>
      </c>
      <c r="B26" s="126"/>
      <c r="C26" s="126"/>
      <c r="D26" s="331"/>
      <c r="E26" s="331"/>
      <c r="F26" s="331"/>
      <c r="G26" s="331"/>
    </row>
    <row r="27" spans="1:9" s="23" customFormat="1" ht="14.25">
      <c r="A27" s="106" t="s">
        <v>391</v>
      </c>
      <c r="B27" s="331">
        <f aca="true" t="shared" si="1" ref="B27:C29">B9+(B15-B21)</f>
        <v>388216.64</v>
      </c>
      <c r="C27" s="331">
        <f t="shared" si="1"/>
        <v>-3424529.34</v>
      </c>
      <c r="D27" s="331">
        <f aca="true" t="shared" si="2" ref="D27:E29">D9+(D15-D21)</f>
        <v>916041.51</v>
      </c>
      <c r="E27" s="331">
        <f t="shared" si="2"/>
        <v>1292329.06</v>
      </c>
      <c r="F27" s="331" t="e">
        <f>F9+(F15-F21)</f>
        <v>#REF!</v>
      </c>
      <c r="G27" s="331" t="e">
        <f>SUM(B27:F27)</f>
        <v>#REF!</v>
      </c>
      <c r="H27" s="25" t="s">
        <v>367</v>
      </c>
      <c r="I27" s="23" t="s">
        <v>370</v>
      </c>
    </row>
    <row r="28" spans="1:8" s="23" customFormat="1" ht="14.25">
      <c r="A28" s="106" t="s">
        <v>392</v>
      </c>
      <c r="B28" s="331" t="e">
        <f t="shared" si="1"/>
        <v>#REF!</v>
      </c>
      <c r="C28" s="331" t="e">
        <f t="shared" si="1"/>
        <v>#REF!</v>
      </c>
      <c r="D28" s="331" t="e">
        <f t="shared" si="2"/>
        <v>#REF!</v>
      </c>
      <c r="E28" s="331">
        <f t="shared" si="2"/>
        <v>70972.57</v>
      </c>
      <c r="F28" s="331" t="e">
        <f>F10+(F16-F22)</f>
        <v>#REF!</v>
      </c>
      <c r="G28" s="331" t="e">
        <f>SUM(B28:F28)</f>
        <v>#REF!</v>
      </c>
      <c r="H28" s="25" t="s">
        <v>368</v>
      </c>
    </row>
    <row r="29" spans="1:8" s="23" customFormat="1" ht="14.25">
      <c r="A29" s="106" t="s">
        <v>393</v>
      </c>
      <c r="B29" s="331" t="e">
        <f t="shared" si="1"/>
        <v>#REF!</v>
      </c>
      <c r="C29" s="331" t="e">
        <f t="shared" si="1"/>
        <v>#REF!</v>
      </c>
      <c r="D29" s="331" t="e">
        <f t="shared" si="2"/>
        <v>#REF!</v>
      </c>
      <c r="E29" s="331">
        <f t="shared" si="2"/>
        <v>0</v>
      </c>
      <c r="F29" s="331" t="e">
        <f>F11+(F17-F23)</f>
        <v>#REF!</v>
      </c>
      <c r="G29" s="331" t="e">
        <f>SUM(B29:F29)</f>
        <v>#REF!</v>
      </c>
      <c r="H29" s="25" t="s">
        <v>369</v>
      </c>
    </row>
    <row r="30" spans="1:9" ht="15.75" thickBot="1">
      <c r="A30" s="108" t="s">
        <v>379</v>
      </c>
      <c r="B30" s="345" t="e">
        <f>SUM(B27:B29)-1</f>
        <v>#REF!</v>
      </c>
      <c r="C30" s="345" t="e">
        <f>SUM(C27:C29)-1</f>
        <v>#REF!</v>
      </c>
      <c r="D30" s="345" t="e">
        <f>SUM(D27:D29)</f>
        <v>#REF!</v>
      </c>
      <c r="E30" s="345">
        <f>SUM(E27:E29)</f>
        <v>1363301.6300000001</v>
      </c>
      <c r="F30" s="345" t="e">
        <f>SUM(F27:F29)</f>
        <v>#REF!</v>
      </c>
      <c r="G30" s="345" t="e">
        <f>SUM(G27:G29)</f>
        <v>#REF!</v>
      </c>
      <c r="H30" s="127" t="e">
        <f>SUM(G27:G29)</f>
        <v>#REF!</v>
      </c>
      <c r="I30" s="109"/>
    </row>
    <row r="31" spans="4:8" ht="16.5" thickTop="1">
      <c r="D31" s="333"/>
      <c r="E31" s="333"/>
      <c r="F31" s="334"/>
      <c r="G31" s="334"/>
      <c r="H31" s="110">
        <f>+'[1]TB03-31-04(Final)'!E462</f>
        <v>4105799.4900000007</v>
      </c>
    </row>
    <row r="32" spans="4:8" ht="15.75">
      <c r="D32" s="333"/>
      <c r="E32" s="333"/>
      <c r="F32" s="334"/>
      <c r="G32" s="334"/>
      <c r="H32" s="110"/>
    </row>
    <row r="33" spans="1:7" ht="18.75" customHeight="1">
      <c r="A33" s="105" t="s">
        <v>430</v>
      </c>
      <c r="D33" s="350"/>
      <c r="E33" s="350"/>
      <c r="F33" s="350"/>
      <c r="G33" s="351" t="s">
        <v>428</v>
      </c>
    </row>
    <row r="34" spans="1:7" ht="14.25">
      <c r="A34" s="106" t="s">
        <v>391</v>
      </c>
      <c r="B34" s="126">
        <f>468189.06-222137.25</f>
        <v>246051.81</v>
      </c>
      <c r="C34" s="126">
        <f>468189.06-222137.25</f>
        <v>246051.81</v>
      </c>
      <c r="D34" s="126">
        <f>448199.18-670918.35</f>
        <v>-222719.16999999998</v>
      </c>
      <c r="E34" s="352">
        <v>0</v>
      </c>
      <c r="F34" s="352">
        <v>0</v>
      </c>
      <c r="G34" s="122">
        <f>SUM(B34:F34)</f>
        <v>269384.45</v>
      </c>
    </row>
    <row r="35" spans="1:7" ht="14.25">
      <c r="A35" s="106" t="s">
        <v>392</v>
      </c>
      <c r="B35" s="126">
        <f>175542.97-81939.83</f>
        <v>93603.14</v>
      </c>
      <c r="C35" s="126">
        <f>175542.97-81939.83</f>
        <v>93603.14</v>
      </c>
      <c r="D35" s="126">
        <f>180110.78-278566.43</f>
        <v>-98455.65</v>
      </c>
      <c r="E35" s="352">
        <v>0</v>
      </c>
      <c r="F35" s="352">
        <v>0</v>
      </c>
      <c r="G35" s="122">
        <f>SUM(B35:F35)</f>
        <v>88750.63</v>
      </c>
    </row>
    <row r="36" spans="1:7" ht="14.25">
      <c r="A36" s="106" t="s">
        <v>393</v>
      </c>
      <c r="B36" s="126">
        <f>3215.61-1526.93</f>
        <v>1688.68</v>
      </c>
      <c r="C36" s="126">
        <f>3215.61-1526.93</f>
        <v>1688.68</v>
      </c>
      <c r="D36" s="126">
        <f>3443.46-5433.83</f>
        <v>-1990.37</v>
      </c>
      <c r="E36" s="352">
        <v>0</v>
      </c>
      <c r="F36" s="352">
        <v>0</v>
      </c>
      <c r="G36" s="122">
        <f>SUM(B36:F36)</f>
        <v>1386.9900000000002</v>
      </c>
    </row>
    <row r="37" spans="1:7" ht="15.75" thickBot="1">
      <c r="A37" s="108" t="s">
        <v>379</v>
      </c>
      <c r="B37" s="345">
        <f aca="true" t="shared" si="3" ref="B37:G37">SUM(B34:B36)</f>
        <v>341343.63</v>
      </c>
      <c r="C37" s="345">
        <f t="shared" si="3"/>
        <v>341343.63</v>
      </c>
      <c r="D37" s="345">
        <f t="shared" si="3"/>
        <v>-323165.18999999994</v>
      </c>
      <c r="E37" s="354">
        <f t="shared" si="3"/>
        <v>0</v>
      </c>
      <c r="F37" s="354">
        <f t="shared" si="3"/>
        <v>0</v>
      </c>
      <c r="G37" s="345">
        <f t="shared" si="3"/>
        <v>359522.07</v>
      </c>
    </row>
    <row r="38" spans="1:7" s="137" customFormat="1" ht="16.5" thickTop="1">
      <c r="A38" s="302"/>
      <c r="B38" s="346"/>
      <c r="C38" s="346"/>
      <c r="D38" s="346"/>
      <c r="E38" s="346"/>
      <c r="F38" s="239"/>
      <c r="G38" s="239"/>
    </row>
    <row r="39" spans="1:8" ht="31.5" customHeight="1">
      <c r="A39" s="105" t="s">
        <v>270</v>
      </c>
      <c r="B39" s="322" t="s">
        <v>46</v>
      </c>
      <c r="C39" s="322" t="s">
        <v>46</v>
      </c>
      <c r="D39" s="322" t="s">
        <v>142</v>
      </c>
      <c r="E39" s="322" t="s">
        <v>213</v>
      </c>
      <c r="F39" s="322" t="s">
        <v>285</v>
      </c>
      <c r="G39" s="323" t="s">
        <v>252</v>
      </c>
      <c r="H39" s="251"/>
    </row>
    <row r="40" spans="2:8" ht="15.75">
      <c r="B40" s="313"/>
      <c r="C40" s="313"/>
      <c r="D40" s="318"/>
      <c r="E40" s="318"/>
      <c r="F40" s="320"/>
      <c r="G40" s="315"/>
      <c r="H40" s="252" t="e">
        <f>+'[1]TB03-31-04(Final)'!G455</f>
        <v>#REF!</v>
      </c>
    </row>
    <row r="41" spans="1:8" ht="12.75" customHeight="1">
      <c r="A41" s="106" t="s">
        <v>391</v>
      </c>
      <c r="B41" s="314">
        <f>+B27-B34</f>
        <v>142164.83000000002</v>
      </c>
      <c r="C41" s="314">
        <f aca="true" t="shared" si="4" ref="C41:F42">+C27-C34</f>
        <v>-3670581.15</v>
      </c>
      <c r="D41" s="314">
        <f t="shared" si="4"/>
        <v>1138760.68</v>
      </c>
      <c r="E41" s="314">
        <f t="shared" si="4"/>
        <v>1292329.06</v>
      </c>
      <c r="F41" s="314" t="e">
        <f t="shared" si="4"/>
        <v>#REF!</v>
      </c>
      <c r="G41" s="315" t="e">
        <f>SUM(C41:F41)</f>
        <v>#REF!</v>
      </c>
      <c r="H41" s="96"/>
    </row>
    <row r="42" spans="1:8" ht="12.75" customHeight="1">
      <c r="A42" s="106" t="s">
        <v>392</v>
      </c>
      <c r="B42" s="314" t="e">
        <f>+B28-B35</f>
        <v>#REF!</v>
      </c>
      <c r="C42" s="314" t="e">
        <f t="shared" si="4"/>
        <v>#REF!</v>
      </c>
      <c r="D42" s="314" t="e">
        <f t="shared" si="4"/>
        <v>#REF!</v>
      </c>
      <c r="E42" s="314">
        <f t="shared" si="4"/>
        <v>70972.57</v>
      </c>
      <c r="F42" s="314" t="e">
        <f t="shared" si="4"/>
        <v>#REF!</v>
      </c>
      <c r="G42" s="315" t="e">
        <f>SUM(C42:F42)</f>
        <v>#REF!</v>
      </c>
      <c r="H42" s="96"/>
    </row>
    <row r="43" spans="1:8" ht="14.25">
      <c r="A43" s="106" t="s">
        <v>393</v>
      </c>
      <c r="B43" s="314" t="e">
        <f>+B29-B36</f>
        <v>#REF!</v>
      </c>
      <c r="C43" s="314" t="e">
        <f>+C29-C36</f>
        <v>#REF!</v>
      </c>
      <c r="D43" s="314" t="e">
        <f>+D29-D36</f>
        <v>#REF!</v>
      </c>
      <c r="E43" s="314">
        <f>+E29-E35</f>
        <v>0</v>
      </c>
      <c r="F43" s="314" t="e">
        <f>+F29-F35</f>
        <v>#REF!</v>
      </c>
      <c r="G43" s="315" t="e">
        <f>SUM(C43:F43)</f>
        <v>#REF!</v>
      </c>
      <c r="H43" s="96"/>
    </row>
    <row r="44" spans="1:8" ht="15.75" thickBot="1">
      <c r="A44" s="108" t="s">
        <v>379</v>
      </c>
      <c r="B44" s="345" t="e">
        <f>SUM(B41:B43)-1</f>
        <v>#REF!</v>
      </c>
      <c r="C44" s="345" t="e">
        <f>SUM(C41:C43)-1</f>
        <v>#REF!</v>
      </c>
      <c r="D44" s="129" t="e">
        <f>SUM(D41:D43)</f>
        <v>#REF!</v>
      </c>
      <c r="E44" s="129">
        <f>SUM(E41:E43)</f>
        <v>1363301.6300000001</v>
      </c>
      <c r="F44" s="129" t="e">
        <f>SUM(F41:F43)</f>
        <v>#REF!</v>
      </c>
      <c r="G44" s="345" t="e">
        <f>SUM(G41:G43)+1</f>
        <v>#REF!</v>
      </c>
      <c r="H44" s="96"/>
    </row>
    <row r="45" spans="1:8" ht="16.5" thickTop="1">
      <c r="A45" s="108"/>
      <c r="D45" s="172"/>
      <c r="E45" s="172"/>
      <c r="F45" s="334"/>
      <c r="G45" s="97"/>
      <c r="H45" s="25"/>
    </row>
  </sheetData>
  <printOptions horizontalCentered="1"/>
  <pageMargins left="0.75" right="0.75" top="0.5" bottom="0" header="0.5" footer="0"/>
  <pageSetup horizontalDpi="300" verticalDpi="300" orientation="landscape" scale="75" r:id="rId1"/>
  <headerFooter alignWithMargins="0">
    <oddFooter>&amp;CPage 9
</oddFooter>
  </headerFooter>
</worksheet>
</file>

<file path=xl/worksheets/sheet15.xml><?xml version="1.0" encoding="utf-8"?>
<worksheet xmlns="http://schemas.openxmlformats.org/spreadsheetml/2006/main" xmlns:r="http://schemas.openxmlformats.org/officeDocument/2006/relationships">
  <dimension ref="A1:J50"/>
  <sheetViews>
    <sheetView zoomScale="75" zoomScaleNormal="75" workbookViewId="0" topLeftCell="A1">
      <selection activeCell="D25" sqref="D25"/>
    </sheetView>
  </sheetViews>
  <sheetFormatPr defaultColWidth="9.140625" defaultRowHeight="12.75"/>
  <cols>
    <col min="1" max="1" width="46.8515625" style="18" customWidth="1"/>
    <col min="2" max="2" width="18.28125" style="313" customWidth="1"/>
    <col min="3" max="3" width="16.57421875" style="313" customWidth="1"/>
    <col min="4" max="4" width="16.140625" style="320" customWidth="1"/>
    <col min="5" max="5" width="18.421875" style="320" customWidth="1"/>
    <col min="6" max="6" width="18.28125" style="320" customWidth="1"/>
    <col min="7" max="7" width="0.5625" style="320" hidden="1" customWidth="1"/>
    <col min="8" max="8" width="16.7109375" style="320" customWidth="1"/>
    <col min="9" max="9" width="17.140625" style="18" bestFit="1" customWidth="1"/>
    <col min="10" max="10" width="13.8515625" style="18" bestFit="1" customWidth="1"/>
    <col min="11" max="11" width="11.7109375" style="18" bestFit="1" customWidth="1"/>
    <col min="12" max="16384" width="9.140625" style="18" customWidth="1"/>
  </cols>
  <sheetData>
    <row r="1" spans="1:8" s="262" customFormat="1" ht="27">
      <c r="A1" s="957" t="s">
        <v>251</v>
      </c>
      <c r="B1" s="957"/>
      <c r="C1" s="957"/>
      <c r="D1" s="957"/>
      <c r="E1" s="957"/>
      <c r="F1" s="957"/>
      <c r="G1" s="957"/>
      <c r="H1" s="957"/>
    </row>
    <row r="2" spans="1:8" ht="19.5" customHeight="1">
      <c r="A2" s="956"/>
      <c r="B2" s="956"/>
      <c r="C2" s="956"/>
      <c r="D2" s="956"/>
      <c r="E2" s="956"/>
      <c r="F2" s="956"/>
      <c r="G2" s="956"/>
      <c r="H2" s="956"/>
    </row>
    <row r="3" spans="1:8" s="103" customFormat="1" ht="18.75">
      <c r="A3" s="958" t="s">
        <v>385</v>
      </c>
      <c r="B3" s="958"/>
      <c r="C3" s="958"/>
      <c r="D3" s="958"/>
      <c r="E3" s="958"/>
      <c r="F3" s="958"/>
      <c r="G3" s="958"/>
      <c r="H3" s="958"/>
    </row>
    <row r="4" spans="1:8" s="103" customFormat="1" ht="18.75">
      <c r="A4" s="958" t="str">
        <f>+'(7)Premiums YTD8'!A4</f>
        <v>YTD PERIOD MARCH 31st, 2004</v>
      </c>
      <c r="B4" s="958"/>
      <c r="C4" s="958"/>
      <c r="D4" s="958"/>
      <c r="E4" s="958"/>
      <c r="F4" s="958"/>
      <c r="G4" s="958"/>
      <c r="H4" s="958"/>
    </row>
    <row r="5" spans="1:8" s="103" customFormat="1" ht="16.5">
      <c r="A5" s="455"/>
      <c r="B5" s="378"/>
      <c r="C5" s="378"/>
      <c r="D5" s="456"/>
      <c r="E5" s="456"/>
      <c r="F5" s="456"/>
      <c r="G5" s="379"/>
      <c r="H5" s="456"/>
    </row>
    <row r="6" spans="1:8" ht="30" customHeight="1">
      <c r="A6" s="457"/>
      <c r="B6" s="580" t="s">
        <v>42</v>
      </c>
      <c r="C6" s="580" t="s">
        <v>46</v>
      </c>
      <c r="D6" s="580" t="s">
        <v>142</v>
      </c>
      <c r="E6" s="580" t="s">
        <v>213</v>
      </c>
      <c r="F6" s="580" t="s">
        <v>97</v>
      </c>
      <c r="G6" s="581" t="s">
        <v>233</v>
      </c>
      <c r="H6" s="581" t="s">
        <v>252</v>
      </c>
    </row>
    <row r="7" spans="1:8" s="127" customFormat="1" ht="15.75">
      <c r="A7" s="577" t="s">
        <v>386</v>
      </c>
      <c r="B7" s="458"/>
      <c r="C7" s="458"/>
      <c r="D7" s="459"/>
      <c r="E7" s="459"/>
      <c r="F7" s="459"/>
      <c r="G7" s="459"/>
      <c r="H7" s="459"/>
    </row>
    <row r="8" spans="1:8" s="127" customFormat="1" ht="15">
      <c r="A8" s="577" t="s">
        <v>387</v>
      </c>
      <c r="B8" s="377"/>
      <c r="C8" s="377"/>
      <c r="D8" s="459"/>
      <c r="E8" s="459"/>
      <c r="F8" s="459"/>
      <c r="G8" s="459"/>
      <c r="H8" s="459"/>
    </row>
    <row r="9" spans="1:9" ht="14.25">
      <c r="A9" s="578" t="s">
        <v>388</v>
      </c>
      <c r="B9" s="331">
        <f>+'[1]TB03-31-04(Final)'!F368</f>
        <v>1626410.46</v>
      </c>
      <c r="C9" s="331">
        <f>+'[1]TB03-31-04(Final)'!F367+'[1]TB03-31-04(Final)'!F398</f>
        <v>1371608.06</v>
      </c>
      <c r="D9" s="331">
        <f>+'[1]TB03-31-04(Final)'!F366+'[1]TB03-31-04(Final)'!F397</f>
        <v>-4174.74</v>
      </c>
      <c r="E9" s="331">
        <f>+'[1]TB03-31-04(Final)'!F365</f>
        <v>59250</v>
      </c>
      <c r="F9" s="331">
        <f>SUM('[1]TB03-31-04(Final)'!F361:F364)+'[1]TB03-31-04(Final)'!G396</f>
        <v>-100</v>
      </c>
      <c r="G9" s="480">
        <f>SUM(D9:F9)</f>
        <v>54975.26</v>
      </c>
      <c r="H9" s="480">
        <f>SUM(B9:F9)</f>
        <v>3052993.78</v>
      </c>
      <c r="I9" s="25"/>
    </row>
    <row r="10" spans="1:8" s="23" customFormat="1" ht="14.25">
      <c r="A10" s="578" t="s">
        <v>389</v>
      </c>
      <c r="B10" s="331">
        <f>+'[1]TB03-31-04(Final)'!F376</f>
        <v>628151.78</v>
      </c>
      <c r="C10" s="331">
        <f>+'[1]TB03-31-04(Final)'!F375+'[1]TB03-31-04(Final)'!F403</f>
        <v>69982.57</v>
      </c>
      <c r="D10" s="331">
        <f>+'[1]TB03-31-04(Final)'!F374+'[1]TB03-31-04(Final)'!F402</f>
        <v>0</v>
      </c>
      <c r="E10" s="331">
        <f>+'[1]TB03-31-04(Final)'!F373</f>
        <v>0</v>
      </c>
      <c r="F10" s="331" t="e">
        <f>SUM('[1]TB03-31-04(Final)'!F370:F372)+'[1]TB03-31-04(Final)'!G400</f>
        <v>#REF!</v>
      </c>
      <c r="G10" s="331" t="e">
        <f>SUM(D10:F10)</f>
        <v>#REF!</v>
      </c>
      <c r="H10" s="331" t="e">
        <f>SUM(B10:F10)</f>
        <v>#REF!</v>
      </c>
    </row>
    <row r="11" spans="1:8" s="23" customFormat="1" ht="14.25">
      <c r="A11" s="578" t="s">
        <v>390</v>
      </c>
      <c r="B11" s="331">
        <f>+'[1]TB03-31-04(Final)'!F383</f>
        <v>1229</v>
      </c>
      <c r="C11" s="331" t="e">
        <f>+'[1]TB03-31-04(Final)'!F382+'[1]TB03-31-04(Final)'!F385</f>
        <v>#REF!</v>
      </c>
      <c r="D11" s="331" t="e">
        <f>+'[1]TB03-31-04(Final)'!F384</f>
        <v>#REF!</v>
      </c>
      <c r="E11" s="331">
        <v>0</v>
      </c>
      <c r="F11" s="331">
        <f>+'[1]TB03-31-04(Final)'!F381</f>
        <v>0</v>
      </c>
      <c r="G11" s="331" t="e">
        <f>SUM(D11:F11)</f>
        <v>#REF!</v>
      </c>
      <c r="H11" s="522" t="e">
        <f>SUM(B11:F11)</f>
        <v>#REF!</v>
      </c>
    </row>
    <row r="12" spans="1:10" s="23" customFormat="1" ht="15.75" thickBot="1">
      <c r="A12" s="454" t="s">
        <v>379</v>
      </c>
      <c r="B12" s="332">
        <f>SUM(B9:B11)</f>
        <v>2255791.24</v>
      </c>
      <c r="C12" s="332" t="e">
        <f>SUM(C9:C11)</f>
        <v>#REF!</v>
      </c>
      <c r="D12" s="332" t="e">
        <f>SUM(D9:D11)</f>
        <v>#REF!</v>
      </c>
      <c r="E12" s="332">
        <f>SUM(E9:E11)</f>
        <v>59250</v>
      </c>
      <c r="F12" s="332" t="e">
        <f>SUM(F9:F11)+1</f>
        <v>#REF!</v>
      </c>
      <c r="G12" s="332" t="e">
        <f>SUM(G9:G11)</f>
        <v>#REF!</v>
      </c>
      <c r="H12" s="129" t="e">
        <f>SUM(B12:F12)-1</f>
        <v>#REF!</v>
      </c>
      <c r="J12" s="359"/>
    </row>
    <row r="13" spans="1:10" s="23" customFormat="1" ht="15" thickTop="1">
      <c r="A13" s="460"/>
      <c r="B13" s="126"/>
      <c r="C13" s="126"/>
      <c r="D13" s="331"/>
      <c r="E13" s="331"/>
      <c r="F13" s="331"/>
      <c r="G13" s="331"/>
      <c r="H13" s="331"/>
      <c r="I13" s="23">
        <f>+'[1]TB03-31-04(Final)'!G407</f>
        <v>3783761.3799999994</v>
      </c>
      <c r="J13" s="23" t="e">
        <f>+H12-I13</f>
        <v>#REF!</v>
      </c>
    </row>
    <row r="14" spans="1:9" s="23" customFormat="1" ht="15">
      <c r="A14" s="454" t="s">
        <v>4</v>
      </c>
      <c r="B14" s="126"/>
      <c r="C14" s="126"/>
      <c r="D14" s="565"/>
      <c r="E14" s="565"/>
      <c r="F14" s="565"/>
      <c r="G14" s="331"/>
      <c r="H14" s="331"/>
      <c r="I14" s="287"/>
    </row>
    <row r="15" spans="1:8" s="23" customFormat="1" ht="14.25">
      <c r="A15" s="578" t="s">
        <v>391</v>
      </c>
      <c r="B15" s="331">
        <f>+'[1](1)IBNR Cal13'!E27</f>
        <v>5669000.165311479</v>
      </c>
      <c r="C15" s="331">
        <f>+'[1](1)IBNR Cal13'!E21</f>
        <v>388216.64</v>
      </c>
      <c r="D15" s="331">
        <f>+'[1](1)IBNR Cal13'!E15</f>
        <v>86015</v>
      </c>
      <c r="E15" s="331">
        <f>+'[1](1)IBNR Cal13'!E9</f>
        <v>93733</v>
      </c>
      <c r="F15" s="331" t="e">
        <f>+'[1](1)IBNR Cal13'!#REF!</f>
        <v>#REF!</v>
      </c>
      <c r="G15" s="331" t="e">
        <f>'[1](1)IBNR Cal13'!#REF!</f>
        <v>#REF!</v>
      </c>
      <c r="H15" s="331" t="e">
        <f>SUM(B15:F15)</f>
        <v>#REF!</v>
      </c>
    </row>
    <row r="16" spans="1:8" s="23" customFormat="1" ht="14.25">
      <c r="A16" s="578" t="s">
        <v>392</v>
      </c>
      <c r="B16" s="331">
        <f>+'[1](1)IBNR Cal13'!E28</f>
        <v>848086.9279600321</v>
      </c>
      <c r="C16" s="331">
        <f>+'[1](1)IBNR Cal13'!E22</f>
        <v>137574.07</v>
      </c>
      <c r="D16" s="331">
        <f>+'[1](1)IBNR Cal13'!E16</f>
        <v>6011</v>
      </c>
      <c r="E16" s="331">
        <v>0</v>
      </c>
      <c r="F16" s="331">
        <f>10</f>
        <v>10</v>
      </c>
      <c r="G16" s="331" t="e">
        <f>'[1](1)IBNR Cal13'!#REF!</f>
        <v>#REF!</v>
      </c>
      <c r="H16" s="331">
        <f>SUM(B16:F16)</f>
        <v>991681.9979600322</v>
      </c>
    </row>
    <row r="17" spans="1:8" s="23" customFormat="1" ht="14.25">
      <c r="A17" s="578" t="s">
        <v>393</v>
      </c>
      <c r="B17" s="331">
        <f>'[1](1)IBNR Cal13'!E29</f>
        <v>13148.069670959347</v>
      </c>
      <c r="C17" s="331">
        <f>'[1](1)IBNR Cal13'!E23</f>
        <v>0</v>
      </c>
      <c r="D17" s="331">
        <f>'[1](1)IBNR Cal13'!E17</f>
        <v>0</v>
      </c>
      <c r="E17" s="331">
        <f>+'[1](1)IBNR Cal13'!E11</f>
        <v>0</v>
      </c>
      <c r="F17" s="331" t="e">
        <f>+'[1](1)IBNR Cal13'!#REF!</f>
        <v>#REF!</v>
      </c>
      <c r="G17" s="331" t="e">
        <f>'[1](1)IBNR Cal13'!#REF!</f>
        <v>#REF!</v>
      </c>
      <c r="H17" s="331" t="e">
        <f>SUM(B17:F17)-1</f>
        <v>#REF!</v>
      </c>
    </row>
    <row r="18" spans="1:9" s="23" customFormat="1" ht="15.75" thickBot="1">
      <c r="A18" s="454" t="s">
        <v>379</v>
      </c>
      <c r="B18" s="332">
        <f>SUM(B15:B17)-1</f>
        <v>6530234.16294247</v>
      </c>
      <c r="C18" s="332">
        <f>SUM(C15:C17)</f>
        <v>525790.71</v>
      </c>
      <c r="D18" s="332">
        <f>SUM(D15:D17)</f>
        <v>92026</v>
      </c>
      <c r="E18" s="332">
        <f>SUM(E15:E17)</f>
        <v>93733</v>
      </c>
      <c r="F18" s="332" t="e">
        <f>SUM(F15:F17)</f>
        <v>#REF!</v>
      </c>
      <c r="G18" s="332" t="e">
        <f>SUM(G15:G17)</f>
        <v>#REF!</v>
      </c>
      <c r="H18" s="129" t="e">
        <f>SUM(B18:F18)</f>
        <v>#REF!</v>
      </c>
      <c r="I18" s="23">
        <f>+'[1](1)IBNR Cal13'!E42</f>
        <v>7846756.2299999995</v>
      </c>
    </row>
    <row r="19" spans="1:8" s="23" customFormat="1" ht="15" thickTop="1">
      <c r="A19" s="460"/>
      <c r="B19" s="126"/>
      <c r="C19" s="126"/>
      <c r="D19" s="331"/>
      <c r="E19" s="331"/>
      <c r="F19" s="331"/>
      <c r="G19" s="331"/>
      <c r="H19" s="331"/>
    </row>
    <row r="20" spans="1:8" s="23" customFormat="1" ht="15">
      <c r="A20" s="454" t="s">
        <v>202</v>
      </c>
      <c r="B20" s="312"/>
      <c r="C20" s="312"/>
      <c r="D20" s="331"/>
      <c r="E20" s="331"/>
      <c r="F20" s="331"/>
      <c r="G20" s="331"/>
      <c r="H20" s="331"/>
    </row>
    <row r="21" spans="1:8" s="23" customFormat="1" ht="14.25">
      <c r="A21" s="578" t="s">
        <v>391</v>
      </c>
      <c r="B21" s="126">
        <v>0</v>
      </c>
      <c r="C21" s="126">
        <v>3812746</v>
      </c>
      <c r="D21" s="331">
        <v>796384</v>
      </c>
      <c r="E21" s="331">
        <v>173012</v>
      </c>
      <c r="F21" s="331">
        <f>4+76330</f>
        <v>76334</v>
      </c>
      <c r="G21" s="331">
        <f>+'[3]Losses Incurred QTR'!$F$21</f>
        <v>149640.16</v>
      </c>
      <c r="H21" s="331">
        <f>SUM(B21:F21)</f>
        <v>4858476</v>
      </c>
    </row>
    <row r="22" spans="1:8" s="23" customFormat="1" ht="14.25">
      <c r="A22" s="578" t="s">
        <v>392</v>
      </c>
      <c r="B22" s="126">
        <v>0</v>
      </c>
      <c r="C22" s="126">
        <v>582573</v>
      </c>
      <c r="D22" s="331">
        <v>136274</v>
      </c>
      <c r="E22" s="331">
        <v>-982</v>
      </c>
      <c r="F22" s="331">
        <f>366+1967</f>
        <v>2333</v>
      </c>
      <c r="G22" s="331">
        <f>+'[3]Losses Incurred QTR'!$F$22</f>
        <v>60667.2</v>
      </c>
      <c r="H22" s="331">
        <f>SUM(B22:F22)-1</f>
        <v>720197</v>
      </c>
    </row>
    <row r="23" spans="1:8" s="23" customFormat="1" ht="14.25">
      <c r="A23" s="578" t="s">
        <v>393</v>
      </c>
      <c r="B23" s="126">
        <v>0</v>
      </c>
      <c r="C23" s="126">
        <v>8804</v>
      </c>
      <c r="D23" s="331">
        <v>0</v>
      </c>
      <c r="E23" s="331">
        <v>0</v>
      </c>
      <c r="F23" s="331">
        <v>0</v>
      </c>
      <c r="G23" s="331">
        <f>+'[3]Losses Incurred QTR'!$F$23</f>
        <v>-8764</v>
      </c>
      <c r="H23" s="331">
        <f>SUM(B23:F23)</f>
        <v>8804</v>
      </c>
    </row>
    <row r="24" spans="1:9" s="23" customFormat="1" ht="15.75" thickBot="1">
      <c r="A24" s="454" t="s">
        <v>379</v>
      </c>
      <c r="B24" s="138">
        <f aca="true" t="shared" si="0" ref="B24:G24">SUM(B21:B23)</f>
        <v>0</v>
      </c>
      <c r="C24" s="138">
        <f t="shared" si="0"/>
        <v>4404123</v>
      </c>
      <c r="D24" s="332">
        <f t="shared" si="0"/>
        <v>932658</v>
      </c>
      <c r="E24" s="332">
        <f t="shared" si="0"/>
        <v>172030</v>
      </c>
      <c r="F24" s="332">
        <f t="shared" si="0"/>
        <v>78667</v>
      </c>
      <c r="G24" s="332">
        <f t="shared" si="0"/>
        <v>201543.36</v>
      </c>
      <c r="H24" s="129">
        <f>SUM(B24:F24)-1</f>
        <v>5587477</v>
      </c>
      <c r="I24" s="23">
        <f>SUM(H21:H23)</f>
        <v>5587477</v>
      </c>
    </row>
    <row r="25" spans="1:9" s="23" customFormat="1" ht="15" thickTop="1">
      <c r="A25" s="460"/>
      <c r="B25" s="126"/>
      <c r="C25" s="126"/>
      <c r="D25" s="331"/>
      <c r="E25" s="331"/>
      <c r="F25" s="331"/>
      <c r="G25" s="331"/>
      <c r="H25" s="331"/>
      <c r="I25" s="23">
        <f>+I18-I24</f>
        <v>2259279.2299999995</v>
      </c>
    </row>
    <row r="26" spans="1:9" s="23" customFormat="1" ht="15">
      <c r="A26" s="454" t="s">
        <v>429</v>
      </c>
      <c r="B26" s="126"/>
      <c r="C26" s="126"/>
      <c r="D26" s="331"/>
      <c r="E26" s="331"/>
      <c r="F26" s="331"/>
      <c r="G26" s="331"/>
      <c r="H26" s="331"/>
      <c r="I26" s="23" t="e">
        <f>+H12+I25</f>
        <v>#REF!</v>
      </c>
    </row>
    <row r="27" spans="1:8" s="23" customFormat="1" ht="14.25">
      <c r="A27" s="578" t="s">
        <v>391</v>
      </c>
      <c r="B27" s="126">
        <f>B9+(B15-B21)</f>
        <v>7295410.625311479</v>
      </c>
      <c r="C27" s="126">
        <f>C9+(C15-C21)</f>
        <v>-2052921.2999999998</v>
      </c>
      <c r="D27" s="331">
        <f aca="true" t="shared" si="1" ref="D27:E29">D9+(D15-D21)</f>
        <v>-714543.74</v>
      </c>
      <c r="E27" s="331">
        <f t="shared" si="1"/>
        <v>-20029</v>
      </c>
      <c r="F27" s="331" t="e">
        <f aca="true" t="shared" si="2" ref="F27:G29">F9+(F15-F21)</f>
        <v>#REF!</v>
      </c>
      <c r="G27" s="331" t="e">
        <f t="shared" si="2"/>
        <v>#REF!</v>
      </c>
      <c r="H27" s="331" t="e">
        <f>SUM(B27:F27)+1</f>
        <v>#REF!</v>
      </c>
    </row>
    <row r="28" spans="1:8" s="23" customFormat="1" ht="14.25">
      <c r="A28" s="578" t="s">
        <v>392</v>
      </c>
      <c r="B28" s="126">
        <f>B10+(B16-B22)</f>
        <v>1476238.7079600322</v>
      </c>
      <c r="C28" s="126">
        <f>C10+(C16-C22)</f>
        <v>-375016.36</v>
      </c>
      <c r="D28" s="331">
        <f t="shared" si="1"/>
        <v>-130263</v>
      </c>
      <c r="E28" s="331">
        <f t="shared" si="1"/>
        <v>982</v>
      </c>
      <c r="F28" s="331" t="e">
        <f t="shared" si="2"/>
        <v>#REF!</v>
      </c>
      <c r="G28" s="331" t="e">
        <f t="shared" si="2"/>
        <v>#REF!</v>
      </c>
      <c r="H28" s="331" t="e">
        <f>SUM(B28:F28)</f>
        <v>#REF!</v>
      </c>
    </row>
    <row r="29" spans="1:8" s="23" customFormat="1" ht="14.25">
      <c r="A29" s="578" t="s">
        <v>393</v>
      </c>
      <c r="B29" s="487">
        <f>B11+(B17-B23)</f>
        <v>14377.069670959347</v>
      </c>
      <c r="C29" s="487" t="e">
        <f>C11+(C17-C23)-1</f>
        <v>#REF!</v>
      </c>
      <c r="D29" s="331" t="e">
        <f t="shared" si="1"/>
        <v>#REF!</v>
      </c>
      <c r="E29" s="331">
        <f t="shared" si="1"/>
        <v>0</v>
      </c>
      <c r="F29" s="331" t="e">
        <f t="shared" si="2"/>
        <v>#REF!</v>
      </c>
      <c r="G29" s="331" t="e">
        <f t="shared" si="2"/>
        <v>#REF!</v>
      </c>
      <c r="H29" s="331" t="e">
        <f>SUM(B29:F29)</f>
        <v>#REF!</v>
      </c>
    </row>
    <row r="30" spans="1:10" ht="15.75" thickBot="1">
      <c r="A30" s="454" t="s">
        <v>379</v>
      </c>
      <c r="B30" s="345">
        <f aca="true" t="shared" si="3" ref="B30:G30">SUM(B27:B29)</f>
        <v>8786026.40294247</v>
      </c>
      <c r="C30" s="345" t="e">
        <f>SUM(C27:C29)</f>
        <v>#REF!</v>
      </c>
      <c r="D30" s="345" t="e">
        <f>SUM(D27:D29)+1</f>
        <v>#REF!</v>
      </c>
      <c r="E30" s="345">
        <f t="shared" si="3"/>
        <v>-19047</v>
      </c>
      <c r="F30" s="345" t="e">
        <f>SUM(F27:F29)+1</f>
        <v>#REF!</v>
      </c>
      <c r="G30" s="345" t="e">
        <f t="shared" si="3"/>
        <v>#REF!</v>
      </c>
      <c r="H30" s="345" t="e">
        <f>SUM(H27:H29)-1</f>
        <v>#REF!</v>
      </c>
      <c r="I30" s="114" t="e">
        <f>SUM(H27:H29)</f>
        <v>#REF!</v>
      </c>
      <c r="J30" s="109"/>
    </row>
    <row r="31" spans="1:10" ht="15.75" thickTop="1">
      <c r="A31" s="457"/>
      <c r="B31" s="548"/>
      <c r="C31" s="548"/>
      <c r="D31" s="548"/>
      <c r="E31" s="548"/>
      <c r="F31" s="548"/>
      <c r="G31" s="548"/>
      <c r="H31" s="548"/>
      <c r="I31" s="114" t="e">
        <f>+I26-I30</f>
        <v>#REF!</v>
      </c>
      <c r="J31" s="109"/>
    </row>
    <row r="32" spans="1:10" ht="15">
      <c r="A32" s="457"/>
      <c r="B32" s="548"/>
      <c r="C32" s="548"/>
      <c r="D32" s="548"/>
      <c r="E32" s="548"/>
      <c r="F32" s="548"/>
      <c r="G32" s="548"/>
      <c r="H32" s="548"/>
      <c r="I32" s="114"/>
      <c r="J32" s="109"/>
    </row>
    <row r="33" spans="1:9" ht="30">
      <c r="A33" s="457"/>
      <c r="B33" s="582" t="s">
        <v>42</v>
      </c>
      <c r="C33" s="582" t="s">
        <v>46</v>
      </c>
      <c r="D33" s="583" t="s">
        <v>18</v>
      </c>
      <c r="E33" s="548"/>
      <c r="F33" s="548"/>
      <c r="G33" s="548"/>
      <c r="I33" s="110">
        <f>+'[1]TB03-31-04(Final)'!G462</f>
        <v>4105799.4900000007</v>
      </c>
    </row>
    <row r="34" spans="1:7" ht="18" customHeight="1">
      <c r="A34" s="579" t="s">
        <v>395</v>
      </c>
      <c r="B34" s="562"/>
      <c r="C34" s="562"/>
      <c r="D34" s="563"/>
      <c r="E34" s="563"/>
      <c r="F34" s="563"/>
      <c r="G34" s="480"/>
    </row>
    <row r="35" spans="1:7" ht="14.25">
      <c r="A35" s="578" t="s">
        <v>391</v>
      </c>
      <c r="B35" s="474">
        <f>+'[1](1)IBNR Cal13'!C27</f>
        <v>929888.0153114785</v>
      </c>
      <c r="C35" s="126">
        <v>0</v>
      </c>
      <c r="D35" s="359">
        <f>SUM(B35:C35)</f>
        <v>929888.0153114785</v>
      </c>
      <c r="E35" s="359"/>
      <c r="F35" s="359"/>
      <c r="G35" s="113"/>
    </row>
    <row r="36" spans="1:7" ht="14.25">
      <c r="A36" s="578" t="s">
        <v>392</v>
      </c>
      <c r="B36" s="126">
        <f>+'[1](1)IBNR Cal13'!C28</f>
        <v>302248.25796003203</v>
      </c>
      <c r="C36" s="126">
        <v>0</v>
      </c>
      <c r="D36" s="122">
        <f>SUM(B36:C36)</f>
        <v>302248.25796003203</v>
      </c>
      <c r="E36" s="304"/>
      <c r="F36" s="304"/>
      <c r="G36" s="122"/>
    </row>
    <row r="37" spans="1:7" ht="14.25">
      <c r="A37" s="578" t="s">
        <v>393</v>
      </c>
      <c r="B37" s="126">
        <f>+'[1](1)IBNR Cal13'!C29</f>
        <v>4148.069670959347</v>
      </c>
      <c r="C37" s="126">
        <v>0</v>
      </c>
      <c r="D37" s="122">
        <f>SUM(B37:C37)</f>
        <v>4148.069670959347</v>
      </c>
      <c r="E37" s="304"/>
      <c r="F37" s="304"/>
      <c r="G37" s="122"/>
    </row>
    <row r="38" spans="1:7" ht="15.75" thickBot="1">
      <c r="A38" s="454" t="s">
        <v>379</v>
      </c>
      <c r="B38" s="345">
        <f>SUM(B35:B37)</f>
        <v>1236284.34294247</v>
      </c>
      <c r="C38" s="129">
        <f>SUM(C35:C37)</f>
        <v>0</v>
      </c>
      <c r="D38" s="345">
        <f>SUM(D35:D37)+1</f>
        <v>1236285.34294247</v>
      </c>
      <c r="E38" s="564"/>
      <c r="F38" s="564"/>
      <c r="G38" s="113"/>
    </row>
    <row r="39" spans="1:9" ht="15.75" hidden="1" thickTop="1">
      <c r="A39" s="108"/>
      <c r="B39" s="316"/>
      <c r="C39" s="316"/>
      <c r="D39" s="316"/>
      <c r="E39" s="319"/>
      <c r="F39" s="319"/>
      <c r="G39" s="315"/>
      <c r="H39" s="317"/>
      <c r="I39" s="251"/>
    </row>
    <row r="40" spans="1:9" ht="15.75" thickTop="1">
      <c r="A40" s="108"/>
      <c r="B40" s="316"/>
      <c r="C40" s="316"/>
      <c r="D40" s="316"/>
      <c r="E40" s="319"/>
      <c r="F40" s="319"/>
      <c r="G40" s="315"/>
      <c r="H40" s="317"/>
      <c r="I40" s="251"/>
    </row>
    <row r="41" spans="1:9" ht="31.5" customHeight="1">
      <c r="A41" s="105"/>
      <c r="B41" s="322"/>
      <c r="C41" s="322"/>
      <c r="D41" s="322"/>
      <c r="E41" s="322"/>
      <c r="F41" s="322"/>
      <c r="G41" s="323"/>
      <c r="H41" s="323"/>
      <c r="I41" s="251"/>
    </row>
    <row r="42" spans="4:9" ht="15.75">
      <c r="D42" s="318"/>
      <c r="E42" s="318"/>
      <c r="G42" s="315"/>
      <c r="H42" s="315"/>
      <c r="I42" s="252"/>
    </row>
    <row r="43" spans="1:9" ht="12.75" customHeight="1">
      <c r="A43" s="106"/>
      <c r="B43" s="314"/>
      <c r="C43" s="314"/>
      <c r="D43" s="314"/>
      <c r="E43" s="314"/>
      <c r="F43" s="314"/>
      <c r="G43" s="315"/>
      <c r="H43" s="315"/>
      <c r="I43" s="96"/>
    </row>
    <row r="44" spans="1:9" ht="12.75" customHeight="1">
      <c r="A44" s="106"/>
      <c r="B44" s="314"/>
      <c r="C44" s="314"/>
      <c r="D44" s="314"/>
      <c r="E44" s="314"/>
      <c r="F44" s="314"/>
      <c r="G44" s="315"/>
      <c r="H44" s="315"/>
      <c r="I44" s="96"/>
    </row>
    <row r="45" spans="1:9" ht="14.25">
      <c r="A45" s="106"/>
      <c r="B45" s="314"/>
      <c r="C45" s="314"/>
      <c r="D45" s="314"/>
      <c r="E45" s="314"/>
      <c r="F45" s="314"/>
      <c r="G45" s="315"/>
      <c r="H45" s="315"/>
      <c r="I45" s="96"/>
    </row>
    <row r="46" spans="1:9" ht="15.75" thickBot="1">
      <c r="A46" s="108"/>
      <c r="B46" s="345"/>
      <c r="C46" s="345"/>
      <c r="D46" s="345"/>
      <c r="E46" s="345"/>
      <c r="F46" s="345"/>
      <c r="G46" s="353"/>
      <c r="H46" s="345"/>
      <c r="I46" s="96"/>
    </row>
    <row r="47" spans="1:9" ht="16.5" thickTop="1">
      <c r="A47" s="106"/>
      <c r="G47" s="315"/>
      <c r="H47" s="315"/>
      <c r="I47" s="96"/>
    </row>
    <row r="48" spans="1:9" ht="15.75">
      <c r="A48" s="108"/>
      <c r="F48" s="317"/>
      <c r="G48" s="315"/>
      <c r="H48" s="315"/>
      <c r="I48" s="96"/>
    </row>
    <row r="50" spans="4:6" ht="15.75">
      <c r="D50" s="321" t="s">
        <v>133</v>
      </c>
      <c r="E50" s="321" t="s">
        <v>133</v>
      </c>
      <c r="F50" s="321" t="s">
        <v>133</v>
      </c>
    </row>
  </sheetData>
  <mergeCells count="4">
    <mergeCell ref="A2:H2"/>
    <mergeCell ref="A1:H1"/>
    <mergeCell ref="A3:H3"/>
    <mergeCell ref="A4:H4"/>
  </mergeCells>
  <printOptions horizontalCentered="1"/>
  <pageMargins left="0.75" right="0.75" top="0.5" bottom="0.5" header="0.5" footer="0.5"/>
  <pageSetup horizontalDpi="600" verticalDpi="600" orientation="landscape" scale="75" r:id="rId2"/>
  <headerFooter alignWithMargins="0">
    <oddFooter>&amp;CPage 10</oddFooter>
  </headerFooter>
  <drawing r:id="rId1"/>
</worksheet>
</file>

<file path=xl/worksheets/sheet16.xml><?xml version="1.0" encoding="utf-8"?>
<worksheet xmlns="http://schemas.openxmlformats.org/spreadsheetml/2006/main" xmlns:r="http://schemas.openxmlformats.org/officeDocument/2006/relationships">
  <dimension ref="A1:AN79"/>
  <sheetViews>
    <sheetView zoomScale="75" zoomScaleNormal="75" workbookViewId="0" topLeftCell="A1">
      <selection activeCell="A1" sqref="A1:IV16384"/>
    </sheetView>
  </sheetViews>
  <sheetFormatPr defaultColWidth="9.140625" defaultRowHeight="12.75"/>
  <cols>
    <col min="1" max="1" width="28.8515625" style="18" customWidth="1"/>
    <col min="2" max="2" width="19.57421875" style="18" customWidth="1"/>
    <col min="3" max="3" width="17.8515625" style="172" customWidth="1"/>
    <col min="4" max="4" width="16.28125" style="127" customWidth="1"/>
    <col min="5" max="5" width="16.7109375" style="127" customWidth="1"/>
    <col min="6" max="6" width="17.421875" style="127" customWidth="1"/>
    <col min="7" max="7" width="15.57421875" style="148" hidden="1" customWidth="1"/>
    <col min="8" max="8" width="17.421875" style="127" customWidth="1"/>
    <col min="9" max="9" width="13.57421875" style="25" customWidth="1"/>
    <col min="10" max="10" width="11.8515625" style="18" customWidth="1"/>
    <col min="11" max="11" width="9.57421875" style="18" bestFit="1" customWidth="1"/>
    <col min="12" max="16384" width="9.140625" style="18" customWidth="1"/>
  </cols>
  <sheetData>
    <row r="1" spans="1:8" s="258" customFormat="1" ht="25.5">
      <c r="A1" s="461" t="s">
        <v>251</v>
      </c>
      <c r="B1" s="461"/>
      <c r="C1" s="425"/>
      <c r="D1" s="462"/>
      <c r="E1" s="462"/>
      <c r="F1" s="463"/>
      <c r="G1" s="463"/>
      <c r="H1" s="463"/>
    </row>
    <row r="2" spans="1:9" ht="18.75">
      <c r="A2" s="427"/>
      <c r="B2" s="427"/>
      <c r="C2" s="452"/>
      <c r="D2" s="452"/>
      <c r="E2" s="452"/>
      <c r="F2" s="428"/>
      <c r="G2" s="416"/>
      <c r="H2" s="416"/>
      <c r="I2" s="18"/>
    </row>
    <row r="3" spans="1:9" ht="15">
      <c r="A3" s="464" t="s">
        <v>396</v>
      </c>
      <c r="B3" s="464"/>
      <c r="C3" s="430"/>
      <c r="D3" s="465"/>
      <c r="E3" s="465"/>
      <c r="F3" s="416"/>
      <c r="G3" s="416"/>
      <c r="H3" s="416"/>
      <c r="I3" s="18"/>
    </row>
    <row r="4" spans="1:9" ht="15">
      <c r="A4" s="464" t="s">
        <v>397</v>
      </c>
      <c r="B4" s="464"/>
      <c r="C4" s="430"/>
      <c r="D4" s="465"/>
      <c r="E4" s="465"/>
      <c r="F4" s="416"/>
      <c r="G4" s="416"/>
      <c r="H4" s="416"/>
      <c r="I4" s="18"/>
    </row>
    <row r="5" spans="1:9" ht="15">
      <c r="A5" s="464" t="str">
        <f>+'(6)Losses Incurred YTD10'!A4</f>
        <v>YTD PERIOD MARCH 31st, 2004</v>
      </c>
      <c r="B5" s="464"/>
      <c r="C5" s="430"/>
      <c r="D5" s="465"/>
      <c r="E5" s="465"/>
      <c r="F5" s="416"/>
      <c r="G5" s="416"/>
      <c r="H5" s="416"/>
      <c r="I5" s="18"/>
    </row>
    <row r="6" spans="1:9" ht="15.75">
      <c r="A6" s="466"/>
      <c r="B6" s="466"/>
      <c r="C6" s="453"/>
      <c r="D6" s="416"/>
      <c r="E6" s="416"/>
      <c r="F6" s="416"/>
      <c r="G6" s="416"/>
      <c r="H6" s="416"/>
      <c r="I6" s="18"/>
    </row>
    <row r="7" spans="1:9" ht="45">
      <c r="A7" s="467"/>
      <c r="B7" s="375" t="s">
        <v>42</v>
      </c>
      <c r="C7" s="375" t="s">
        <v>46</v>
      </c>
      <c r="D7" s="468" t="s">
        <v>142</v>
      </c>
      <c r="E7" s="468" t="s">
        <v>213</v>
      </c>
      <c r="F7" s="468" t="s">
        <v>97</v>
      </c>
      <c r="G7" s="468" t="s">
        <v>233</v>
      </c>
      <c r="H7" s="469" t="s">
        <v>252</v>
      </c>
      <c r="I7" s="18"/>
    </row>
    <row r="8" spans="1:9" ht="30">
      <c r="A8" s="470" t="s">
        <v>398</v>
      </c>
      <c r="B8" s="374"/>
      <c r="C8" s="374"/>
      <c r="D8" s="382"/>
      <c r="E8" s="382"/>
      <c r="F8" s="382"/>
      <c r="G8" s="382"/>
      <c r="H8" s="471"/>
      <c r="I8" s="18"/>
    </row>
    <row r="9" spans="1:39" ht="14.25">
      <c r="A9" s="371" t="s">
        <v>376</v>
      </c>
      <c r="B9" s="359">
        <f>+'(1)ULEP-YTD17'!G41</f>
        <v>148427.47</v>
      </c>
      <c r="C9" s="359">
        <f>+'(1)ULEP-YTD17'!G35</f>
        <v>91951.54000000001</v>
      </c>
      <c r="D9" s="359">
        <f>+'(1)ULEP-YTD17'!G29</f>
        <v>784</v>
      </c>
      <c r="E9" s="359">
        <f>+'(1)ULEP-YTD17'!G23</f>
        <v>3187.02</v>
      </c>
      <c r="F9" s="359" t="e">
        <f>+'(1)ULEP-YTD17'!G17</f>
        <v>#REF!</v>
      </c>
      <c r="G9" s="359" t="e">
        <f>#REF!+#REF!</f>
        <v>#REF!</v>
      </c>
      <c r="H9" s="359" t="e">
        <f>SUM(B9:F9)</f>
        <v>#REF!</v>
      </c>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row>
    <row r="10" spans="1:39" s="23" customFormat="1" ht="14.25">
      <c r="A10" s="376" t="s">
        <v>377</v>
      </c>
      <c r="B10" s="122">
        <f>+'(1)ULEP-YTD17'!G42</f>
        <v>145662.99</v>
      </c>
      <c r="C10" s="122">
        <f>+'(1)ULEP-YTD17'!G36</f>
        <v>39257.229999999996</v>
      </c>
      <c r="D10" s="122">
        <f>+'(1)ULEP-YTD17'!G30</f>
        <v>254</v>
      </c>
      <c r="E10" s="122">
        <f>+'(1)ULEP-YTD17'!G24</f>
        <v>0</v>
      </c>
      <c r="F10" s="122" t="e">
        <f>+'(1)ULEP-YTD17'!G18</f>
        <v>#REF!</v>
      </c>
      <c r="G10" s="122" t="e">
        <f>#REF!+#REF!</f>
        <v>#REF!</v>
      </c>
      <c r="H10" s="122" t="e">
        <f>SUM(B10:F10)</f>
        <v>#REF!</v>
      </c>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row>
    <row r="11" spans="1:39" s="23" customFormat="1" ht="14.25">
      <c r="A11" s="376" t="s">
        <v>378</v>
      </c>
      <c r="B11" s="122">
        <f>+'(1)ULEP-YTD17'!F43</f>
        <v>45.77</v>
      </c>
      <c r="C11" s="122">
        <f>+'(1)ULEP-YTD17'!G37</f>
        <v>0</v>
      </c>
      <c r="D11" s="122">
        <v>0</v>
      </c>
      <c r="E11" s="122">
        <f>+'(1)ULEP-YTD17'!G31</f>
        <v>1047.62</v>
      </c>
      <c r="F11" s="122">
        <f>+'(1)ULEP-YTD17'!G25</f>
        <v>-374.81</v>
      </c>
      <c r="G11" s="122">
        <v>0</v>
      </c>
      <c r="H11" s="122">
        <f>SUM(B11:F11)</f>
        <v>718.5799999999999</v>
      </c>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row>
    <row r="12" spans="1:39" s="23" customFormat="1" ht="15.75" thickBot="1">
      <c r="A12" s="472" t="s">
        <v>379</v>
      </c>
      <c r="B12" s="332">
        <f aca="true" t="shared" si="0" ref="B12:G12">SUM(B9:B11)</f>
        <v>294136.23</v>
      </c>
      <c r="C12" s="332">
        <f t="shared" si="0"/>
        <v>131208.77000000002</v>
      </c>
      <c r="D12" s="332">
        <f t="shared" si="0"/>
        <v>1038</v>
      </c>
      <c r="E12" s="332">
        <f t="shared" si="0"/>
        <v>4234.639999999999</v>
      </c>
      <c r="F12" s="332" t="e">
        <f t="shared" si="0"/>
        <v>#REF!</v>
      </c>
      <c r="G12" s="332" t="e">
        <f t="shared" si="0"/>
        <v>#REF!</v>
      </c>
      <c r="H12" s="129" t="e">
        <f>SUM(B12:F12)</f>
        <v>#REF!</v>
      </c>
      <c r="I12" s="111" t="e">
        <f>+'(1)ULEP-YTD17'!G49</f>
        <v>#REF!</v>
      </c>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row>
    <row r="13" spans="1:39" s="23" customFormat="1" ht="15" thickTop="1">
      <c r="A13" s="371"/>
      <c r="B13" s="126"/>
      <c r="C13" s="126"/>
      <c r="D13" s="122"/>
      <c r="E13" s="122"/>
      <c r="F13" s="122"/>
      <c r="G13" s="122"/>
      <c r="H13" s="122"/>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row>
    <row r="14" spans="1:39" s="23" customFormat="1" ht="45">
      <c r="A14" s="473" t="s">
        <v>6</v>
      </c>
      <c r="B14" s="126"/>
      <c r="C14" s="126"/>
      <c r="D14" s="122"/>
      <c r="E14" s="122"/>
      <c r="F14" s="122"/>
      <c r="G14" s="122"/>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row>
    <row r="15" spans="1:39" s="23" customFormat="1" ht="14.25">
      <c r="A15" s="371" t="s">
        <v>376</v>
      </c>
      <c r="B15" s="122">
        <f>'[1](3)Cal. UPLR14'!C30</f>
        <v>600445.509405</v>
      </c>
      <c r="C15" s="122">
        <f>'[1](3)Cal. UPLR14'!D30</f>
        <v>49187.048288</v>
      </c>
      <c r="D15" s="122">
        <f>'[1](3)Cal. UPLR14'!E30</f>
        <v>10898.1005</v>
      </c>
      <c r="E15" s="122">
        <f>'[1](3)Cal. UPLR14'!F30</f>
        <v>11875.9711</v>
      </c>
      <c r="F15" s="126" t="e">
        <f>'[1](3)Cal. UPLR14'!#REF!</f>
        <v>#REF!</v>
      </c>
      <c r="G15" s="122" t="e">
        <f>'[1](3)Cal. UPLR14'!#REF!</f>
        <v>#REF!</v>
      </c>
      <c r="H15" s="122" t="e">
        <f>SUM(B15:F15)</f>
        <v>#REF!</v>
      </c>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row>
    <row r="16" spans="1:39" s="23" customFormat="1" ht="14.25">
      <c r="A16" s="376" t="s">
        <v>377</v>
      </c>
      <c r="B16" s="122">
        <f>'[1](3)Cal. UPLR14'!C31</f>
        <v>69157.759489</v>
      </c>
      <c r="C16" s="122">
        <f>'[1](3)Cal. UPLR14'!D31</f>
        <v>17430.634669</v>
      </c>
      <c r="D16" s="122">
        <f>'[1](3)Cal. UPLR14'!E31+1</f>
        <v>762.5936999999999</v>
      </c>
      <c r="E16" s="122">
        <v>0</v>
      </c>
      <c r="F16" s="122">
        <v>0</v>
      </c>
      <c r="G16" s="122" t="e">
        <f>'[1](3)Cal. UPLR14'!#REF!</f>
        <v>#REF!</v>
      </c>
      <c r="H16" s="122">
        <f>SUM(B16:F16)</f>
        <v>87350.98785800001</v>
      </c>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row>
    <row r="17" spans="1:39" s="23" customFormat="1" ht="14.25">
      <c r="A17" s="376" t="s">
        <v>378</v>
      </c>
      <c r="B17" s="122">
        <f>'[1](3)Cal. UPLR14'!C32</f>
        <v>1140.3</v>
      </c>
      <c r="C17" s="122">
        <f>'[1](3)Cal. UPLR14'!D32</f>
        <v>0</v>
      </c>
      <c r="D17" s="122">
        <f>'[1](3)Cal. UPLR14'!E32</f>
        <v>0</v>
      </c>
      <c r="E17" s="122">
        <f>'[1](3)Cal. UPLR14'!F32</f>
        <v>0</v>
      </c>
      <c r="F17" s="122" t="e">
        <f>'[1](3)Cal. UPLR14'!#REF!</f>
        <v>#REF!</v>
      </c>
      <c r="G17" s="122" t="e">
        <f>'[1](3)Cal. UPLR14'!#REF!</f>
        <v>#REF!</v>
      </c>
      <c r="H17" s="122" t="e">
        <f>SUM(B17:F17)</f>
        <v>#REF!</v>
      </c>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row>
    <row r="18" spans="1:39" s="23" customFormat="1" ht="15.75" thickBot="1">
      <c r="A18" s="472" t="s">
        <v>379</v>
      </c>
      <c r="B18" s="332">
        <f>'[1](3)Cal. UPLR14'!C33</f>
        <v>670743.568894</v>
      </c>
      <c r="C18" s="332">
        <f>'[1](3)Cal. UPLR14'!D33</f>
        <v>66617.682957</v>
      </c>
      <c r="D18" s="332">
        <f>'[1](3)Cal. UPLR14'!E33</f>
        <v>11659.6942</v>
      </c>
      <c r="E18" s="332">
        <f>'[1](3)Cal. UPLR14'!F33</f>
        <v>11876.9847</v>
      </c>
      <c r="F18" s="332" t="e">
        <f>'[1](3)Cal. UPLR14'!#REF!</f>
        <v>#REF!</v>
      </c>
      <c r="G18" s="332" t="e">
        <f>'[1](3)Cal. UPLR14'!#REF!</f>
        <v>#REF!</v>
      </c>
      <c r="H18" s="129" t="e">
        <f>SUM(B18:F18)</f>
        <v>#REF!</v>
      </c>
      <c r="I18" s="111">
        <f>+'[1](3)Cal. UPLR14'!G33</f>
        <v>785337.2508590003</v>
      </c>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row>
    <row r="19" spans="1:39" s="23" customFormat="1" ht="15" thickTop="1">
      <c r="A19" s="371"/>
      <c r="B19" s="126"/>
      <c r="C19" s="126"/>
      <c r="D19" s="122"/>
      <c r="E19" s="122"/>
      <c r="F19" s="122"/>
      <c r="G19" s="122"/>
      <c r="H19" s="122"/>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row>
    <row r="20" spans="1:39" s="23" customFormat="1" ht="30">
      <c r="A20" s="473" t="s">
        <v>201</v>
      </c>
      <c r="B20" s="312" t="s">
        <v>250</v>
      </c>
      <c r="C20" s="312" t="s">
        <v>250</v>
      </c>
      <c r="D20" s="566"/>
      <c r="E20" s="566"/>
      <c r="F20" s="566"/>
      <c r="G20" s="122"/>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row>
    <row r="21" spans="1:39" s="23" customFormat="1" ht="14.25">
      <c r="A21" s="371" t="s">
        <v>376</v>
      </c>
      <c r="B21" s="126">
        <v>0</v>
      </c>
      <c r="C21" s="126">
        <v>317463</v>
      </c>
      <c r="D21" s="126">
        <v>88558</v>
      </c>
      <c r="E21" s="122">
        <v>19239</v>
      </c>
      <c r="F21" s="122">
        <v>8488</v>
      </c>
      <c r="G21" s="122">
        <f>+'[3]Loss Expenses QTR'!$F$21</f>
        <v>15667.324752000002</v>
      </c>
      <c r="H21" s="122">
        <f>SUM(B21:F21)</f>
        <v>433748</v>
      </c>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row>
    <row r="22" spans="1:39" s="23" customFormat="1" ht="14.25">
      <c r="A22" s="376" t="s">
        <v>399</v>
      </c>
      <c r="B22" s="126">
        <v>0</v>
      </c>
      <c r="C22" s="126">
        <v>25508</v>
      </c>
      <c r="D22" s="126">
        <v>15154</v>
      </c>
      <c r="E22" s="122">
        <v>-109</v>
      </c>
      <c r="F22" s="122">
        <f>41+219</f>
        <v>260</v>
      </c>
      <c r="G22" s="122">
        <f>+'[3]Loss Expenses QTR'!$F$22</f>
        <v>6351.855840000001</v>
      </c>
      <c r="H22" s="122">
        <f>SUM(B22:F22)-2</f>
        <v>40811</v>
      </c>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row>
    <row r="23" spans="1:39" s="23" customFormat="1" ht="14.25">
      <c r="A23" s="376" t="s">
        <v>378</v>
      </c>
      <c r="B23" s="126">
        <v>0</v>
      </c>
      <c r="C23" s="126">
        <v>278</v>
      </c>
      <c r="D23" s="126">
        <v>0</v>
      </c>
      <c r="E23" s="122">
        <v>0</v>
      </c>
      <c r="F23" s="122">
        <f>+'[4]Loss Expenses YTD (pg 12)'!$C$17</f>
        <v>0</v>
      </c>
      <c r="G23" s="122">
        <f>+'[3]Loss Expenses QTR'!$F$23</f>
        <v>-917.5908000000001</v>
      </c>
      <c r="H23" s="122">
        <f>SUM(B23:F23)</f>
        <v>278</v>
      </c>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row>
    <row r="24" spans="1:39" s="23" customFormat="1" ht="15.75" thickBot="1">
      <c r="A24" s="472" t="s">
        <v>379</v>
      </c>
      <c r="B24" s="138">
        <f aca="true" t="shared" si="1" ref="B24:G24">SUM(B21:B23)</f>
        <v>0</v>
      </c>
      <c r="C24" s="138">
        <f t="shared" si="1"/>
        <v>343249</v>
      </c>
      <c r="D24" s="138">
        <f t="shared" si="1"/>
        <v>103712</v>
      </c>
      <c r="E24" s="332">
        <f t="shared" si="1"/>
        <v>19130</v>
      </c>
      <c r="F24" s="332">
        <f t="shared" si="1"/>
        <v>8748</v>
      </c>
      <c r="G24" s="332">
        <f t="shared" si="1"/>
        <v>21101.589792000002</v>
      </c>
      <c r="H24" s="129">
        <f>SUM(B24:F24)-2</f>
        <v>474837</v>
      </c>
      <c r="I24" s="111">
        <f>SUM(H21:H23)</f>
        <v>474837</v>
      </c>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row>
    <row r="25" spans="1:39" s="23" customFormat="1" ht="15" thickTop="1">
      <c r="A25" s="371"/>
      <c r="B25" s="126"/>
      <c r="C25" s="126"/>
      <c r="D25" s="122"/>
      <c r="E25" s="122"/>
      <c r="F25" s="122"/>
      <c r="G25" s="122"/>
      <c r="H25" s="122"/>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row>
    <row r="26" spans="1:39" s="23" customFormat="1" ht="30">
      <c r="A26" s="473" t="s">
        <v>400</v>
      </c>
      <c r="B26" s="126"/>
      <c r="C26" s="126"/>
      <c r="D26" s="566"/>
      <c r="E26" s="566"/>
      <c r="F26" s="566"/>
      <c r="G26" s="122"/>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row>
    <row r="27" spans="1:39" s="23" customFormat="1" ht="14.25">
      <c r="A27" s="371" t="s">
        <v>376</v>
      </c>
      <c r="B27" s="122">
        <f aca="true" t="shared" si="2" ref="B27:C29">B9+B15-B21</f>
        <v>748872.979405</v>
      </c>
      <c r="C27" s="122">
        <f t="shared" si="2"/>
        <v>-176324.411712</v>
      </c>
      <c r="D27" s="122">
        <f aca="true" t="shared" si="3" ref="D27:E29">D9+D15-D21</f>
        <v>-76875.8995</v>
      </c>
      <c r="E27" s="122">
        <f t="shared" si="3"/>
        <v>-4176.008899999999</v>
      </c>
      <c r="F27" s="122" t="e">
        <f aca="true" t="shared" si="4" ref="F27:G29">F9+F15-F21</f>
        <v>#REF!</v>
      </c>
      <c r="G27" s="122" t="e">
        <f>G9+G15-G21+1</f>
        <v>#REF!</v>
      </c>
      <c r="H27" s="122" t="e">
        <f>SUM(B27:F27)+1</f>
        <v>#REF!</v>
      </c>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row>
    <row r="28" spans="1:39" s="23" customFormat="1" ht="14.25">
      <c r="A28" s="376" t="s">
        <v>377</v>
      </c>
      <c r="B28" s="122">
        <f t="shared" si="2"/>
        <v>214820.749489</v>
      </c>
      <c r="C28" s="122">
        <f t="shared" si="2"/>
        <v>31179.864668999995</v>
      </c>
      <c r="D28" s="122">
        <f t="shared" si="3"/>
        <v>-14137.4063</v>
      </c>
      <c r="E28" s="122">
        <f t="shared" si="3"/>
        <v>109</v>
      </c>
      <c r="F28" s="122" t="e">
        <f t="shared" si="4"/>
        <v>#REF!</v>
      </c>
      <c r="G28" s="122" t="e">
        <f t="shared" si="4"/>
        <v>#REF!</v>
      </c>
      <c r="H28" s="122" t="e">
        <f>SUM(B28:F28)+1</f>
        <v>#REF!</v>
      </c>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row>
    <row r="29" spans="1:39" s="23" customFormat="1" ht="14.25">
      <c r="A29" s="376" t="s">
        <v>378</v>
      </c>
      <c r="B29" s="122">
        <f t="shared" si="2"/>
        <v>1186.07</v>
      </c>
      <c r="C29" s="122">
        <f t="shared" si="2"/>
        <v>-278</v>
      </c>
      <c r="D29" s="122">
        <f t="shared" si="3"/>
        <v>0</v>
      </c>
      <c r="E29" s="122">
        <f t="shared" si="3"/>
        <v>1047.62</v>
      </c>
      <c r="F29" s="122" t="e">
        <f t="shared" si="4"/>
        <v>#REF!</v>
      </c>
      <c r="G29" s="122" t="e">
        <f>G11+G17-G23+1</f>
        <v>#REF!</v>
      </c>
      <c r="H29" s="122" t="e">
        <f>SUM(B29:F29)</f>
        <v>#REF!</v>
      </c>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row>
    <row r="30" spans="1:39" ht="15.75" thickBot="1">
      <c r="A30" s="472" t="s">
        <v>379</v>
      </c>
      <c r="B30" s="345">
        <f aca="true" t="shared" si="5" ref="B30:G30">SUM(B27:B29)</f>
        <v>964879.7988939999</v>
      </c>
      <c r="C30" s="345">
        <f t="shared" si="5"/>
        <v>-145422.547043</v>
      </c>
      <c r="D30" s="345">
        <f t="shared" si="5"/>
        <v>-91013.3058</v>
      </c>
      <c r="E30" s="345">
        <f t="shared" si="5"/>
        <v>-3019.388899999999</v>
      </c>
      <c r="F30" s="345" t="e">
        <f t="shared" si="5"/>
        <v>#REF!</v>
      </c>
      <c r="G30" s="345" t="e">
        <f t="shared" si="5"/>
        <v>#REF!</v>
      </c>
      <c r="H30" s="345" t="e">
        <f>SUM(B30:F30)+2</f>
        <v>#REF!</v>
      </c>
      <c r="I30" s="250">
        <f>+'[1]TB03-31-04(Final)'!G578</f>
        <v>474152.5300000001</v>
      </c>
      <c r="J30" s="249"/>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row>
    <row r="31" spans="2:40" ht="16.5" thickTop="1">
      <c r="B31" s="172"/>
      <c r="F31" s="122"/>
      <c r="G31" s="147"/>
      <c r="H31" s="122"/>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row>
    <row r="32" spans="6:40" ht="15.75">
      <c r="F32" s="122"/>
      <c r="G32" s="147"/>
      <c r="H32" s="122"/>
      <c r="I32" s="113"/>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row>
    <row r="33" spans="6:40" ht="15.75">
      <c r="F33" s="122"/>
      <c r="G33" s="147"/>
      <c r="H33" s="122"/>
      <c r="I33" s="113"/>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row>
    <row r="34" spans="6:40" ht="15.75">
      <c r="F34" s="122"/>
      <c r="G34" s="147"/>
      <c r="H34" s="122"/>
      <c r="I34" s="113"/>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row>
    <row r="35" spans="6:40" ht="15.75">
      <c r="F35" s="122"/>
      <c r="G35" s="147"/>
      <c r="H35" s="122"/>
      <c r="I35" s="113"/>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row>
    <row r="36" spans="6:40" ht="15.75">
      <c r="F36" s="122"/>
      <c r="G36" s="147"/>
      <c r="H36" s="122"/>
      <c r="I36" s="113"/>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row>
    <row r="37" spans="6:40" ht="15.75">
      <c r="F37" s="122"/>
      <c r="G37" s="147"/>
      <c r="H37" s="122"/>
      <c r="I37" s="113"/>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row>
    <row r="38" spans="6:40" ht="15.75">
      <c r="F38" s="122"/>
      <c r="G38" s="147"/>
      <c r="H38" s="122"/>
      <c r="I38" s="113"/>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row>
    <row r="39" spans="6:40" ht="15.75">
      <c r="F39" s="122"/>
      <c r="G39" s="147"/>
      <c r="H39" s="122"/>
      <c r="I39" s="113"/>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row>
    <row r="40" spans="6:40" ht="15.75">
      <c r="F40" s="122"/>
      <c r="G40" s="147"/>
      <c r="H40" s="122"/>
      <c r="I40" s="113"/>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row>
    <row r="41" spans="6:40" ht="15.75">
      <c r="F41" s="122"/>
      <c r="G41" s="147"/>
      <c r="H41" s="122"/>
      <c r="I41" s="113"/>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row>
    <row r="42" spans="6:40" ht="15.75">
      <c r="F42" s="122"/>
      <c r="G42" s="147"/>
      <c r="H42" s="122"/>
      <c r="I42" s="113"/>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row>
    <row r="43" spans="6:40" ht="15.75">
      <c r="F43" s="122"/>
      <c r="G43" s="147"/>
      <c r="H43" s="122"/>
      <c r="I43" s="113"/>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row>
    <row r="44" spans="6:40" ht="15.75">
      <c r="F44" s="122"/>
      <c r="G44" s="147"/>
      <c r="H44" s="122"/>
      <c r="I44" s="113"/>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row>
    <row r="45" spans="6:40" ht="15.75">
      <c r="F45" s="122"/>
      <c r="G45" s="147"/>
      <c r="H45" s="122"/>
      <c r="I45" s="113"/>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row>
    <row r="46" spans="6:40" ht="15.75">
      <c r="F46" s="122"/>
      <c r="G46" s="147"/>
      <c r="H46" s="122"/>
      <c r="I46" s="113"/>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row>
    <row r="47" spans="6:40" ht="15.75">
      <c r="F47" s="122"/>
      <c r="G47" s="147"/>
      <c r="H47" s="122"/>
      <c r="I47" s="113"/>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row>
    <row r="48" spans="6:40" ht="15.75">
      <c r="F48" s="122"/>
      <c r="G48" s="147"/>
      <c r="H48" s="122"/>
      <c r="I48" s="113"/>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row>
    <row r="49" spans="6:40" ht="15.75">
      <c r="F49" s="122"/>
      <c r="G49" s="147"/>
      <c r="H49" s="122"/>
      <c r="I49" s="113"/>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row>
    <row r="50" spans="6:40" ht="15.75">
      <c r="F50" s="122"/>
      <c r="G50" s="147"/>
      <c r="H50" s="122"/>
      <c r="I50" s="113"/>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row>
    <row r="51" spans="6:40" ht="15.75">
      <c r="F51" s="122"/>
      <c r="G51" s="147"/>
      <c r="H51" s="122"/>
      <c r="I51" s="113"/>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row>
    <row r="52" spans="6:40" ht="15.75">
      <c r="F52" s="122"/>
      <c r="G52" s="147"/>
      <c r="H52" s="122"/>
      <c r="I52" s="113"/>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row>
    <row r="53" spans="6:40" ht="15.75">
      <c r="F53" s="122"/>
      <c r="G53" s="147"/>
      <c r="H53" s="122"/>
      <c r="I53" s="113"/>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row>
    <row r="54" spans="6:40" ht="15.75">
      <c r="F54" s="122"/>
      <c r="G54" s="147"/>
      <c r="H54" s="122"/>
      <c r="I54" s="113"/>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row>
    <row r="55" spans="6:40" ht="15.75">
      <c r="F55" s="122"/>
      <c r="G55" s="147"/>
      <c r="H55" s="122"/>
      <c r="I55" s="113"/>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row>
    <row r="56" spans="6:40" ht="15.75">
      <c r="F56" s="122"/>
      <c r="G56" s="147"/>
      <c r="H56" s="122"/>
      <c r="I56" s="113"/>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row>
    <row r="57" spans="6:40" ht="15.75">
      <c r="F57" s="122"/>
      <c r="G57" s="147"/>
      <c r="H57" s="122"/>
      <c r="I57" s="113"/>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row>
    <row r="58" spans="6:40" ht="15.75">
      <c r="F58" s="122"/>
      <c r="G58" s="147"/>
      <c r="H58" s="122"/>
      <c r="I58" s="113"/>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row>
    <row r="59" spans="6:40" ht="15.75">
      <c r="F59" s="122"/>
      <c r="G59" s="147"/>
      <c r="H59" s="122"/>
      <c r="I59" s="113"/>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row>
    <row r="60" spans="6:40" ht="15.75">
      <c r="F60" s="122"/>
      <c r="G60" s="147"/>
      <c r="H60" s="122"/>
      <c r="I60" s="113"/>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row>
    <row r="61" spans="6:40" ht="15.75">
      <c r="F61" s="122"/>
      <c r="G61" s="147"/>
      <c r="H61" s="122"/>
      <c r="I61" s="113"/>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row>
    <row r="62" spans="6:40" ht="15.75">
      <c r="F62" s="122"/>
      <c r="G62" s="147"/>
      <c r="H62" s="122"/>
      <c r="I62" s="113"/>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row>
    <row r="63" spans="6:40" ht="15.75">
      <c r="F63" s="122"/>
      <c r="G63" s="147"/>
      <c r="H63" s="122"/>
      <c r="I63" s="113"/>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row>
    <row r="64" spans="6:40" ht="15.75">
      <c r="F64" s="122"/>
      <c r="G64" s="147"/>
      <c r="H64" s="122"/>
      <c r="I64" s="113"/>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row>
    <row r="65" spans="6:40" ht="15.75">
      <c r="F65" s="122"/>
      <c r="G65" s="147"/>
      <c r="H65" s="122"/>
      <c r="I65" s="113"/>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row>
    <row r="66" spans="6:40" ht="15.75">
      <c r="F66" s="122"/>
      <c r="G66" s="147"/>
      <c r="H66" s="122"/>
      <c r="I66" s="113"/>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row>
    <row r="67" spans="6:40" ht="15.75">
      <c r="F67" s="122"/>
      <c r="G67" s="147"/>
      <c r="H67" s="122"/>
      <c r="I67" s="113"/>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row>
    <row r="68" spans="6:40" ht="15.75">
      <c r="F68" s="122"/>
      <c r="G68" s="147"/>
      <c r="H68" s="122"/>
      <c r="I68" s="113"/>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row>
    <row r="69" spans="6:40" ht="15.75">
      <c r="F69" s="122"/>
      <c r="G69" s="147"/>
      <c r="H69" s="122"/>
      <c r="I69" s="113"/>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row>
    <row r="70" spans="6:40" ht="15.75">
      <c r="F70" s="122"/>
      <c r="G70" s="147"/>
      <c r="H70" s="122"/>
      <c r="I70" s="113"/>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row>
    <row r="71" spans="6:40" ht="15.75">
      <c r="F71" s="122"/>
      <c r="G71" s="147"/>
      <c r="H71" s="122"/>
      <c r="I71" s="113"/>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row>
    <row r="72" spans="6:40" ht="15.75">
      <c r="F72" s="122"/>
      <c r="G72" s="147"/>
      <c r="H72" s="122"/>
      <c r="I72" s="113"/>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row>
    <row r="73" spans="6:40" ht="15.75">
      <c r="F73" s="122"/>
      <c r="G73" s="147"/>
      <c r="H73" s="122"/>
      <c r="I73" s="113"/>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row>
    <row r="74" spans="6:40" ht="15.75">
      <c r="F74" s="122"/>
      <c r="G74" s="147"/>
      <c r="H74" s="122"/>
      <c r="I74" s="113"/>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row>
    <row r="75" spans="6:40" ht="15.75">
      <c r="F75" s="122"/>
      <c r="G75" s="147"/>
      <c r="H75" s="122"/>
      <c r="I75" s="113"/>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row>
    <row r="76" spans="6:40" ht="15.75">
      <c r="F76" s="122"/>
      <c r="G76" s="147"/>
      <c r="H76" s="122"/>
      <c r="I76" s="113"/>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row>
    <row r="77" spans="6:40" ht="15.75">
      <c r="F77" s="122"/>
      <c r="G77" s="147"/>
      <c r="H77" s="122"/>
      <c r="I77" s="113"/>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row>
    <row r="78" spans="6:40" ht="15.75">
      <c r="F78" s="122"/>
      <c r="G78" s="147"/>
      <c r="H78" s="122"/>
      <c r="I78" s="113"/>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row>
    <row r="79" spans="6:40" ht="15.75">
      <c r="F79" s="122"/>
      <c r="G79" s="147"/>
      <c r="H79" s="122"/>
      <c r="I79" s="113"/>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row>
  </sheetData>
  <printOptions horizontalCentered="1"/>
  <pageMargins left="0.75" right="0.75" top="0.5" bottom="0.5" header="0.5" footer="0.5"/>
  <pageSetup horizontalDpi="600" verticalDpi="600" orientation="landscape" scale="85" r:id="rId1"/>
  <headerFooter alignWithMargins="0">
    <oddFooter>&amp;CPage 12
</oddFooter>
  </headerFooter>
</worksheet>
</file>

<file path=xl/worksheets/sheet17.xml><?xml version="1.0" encoding="utf-8"?>
<worksheet xmlns="http://schemas.openxmlformats.org/spreadsheetml/2006/main" xmlns:r="http://schemas.openxmlformats.org/officeDocument/2006/relationships">
  <dimension ref="A1:N149"/>
  <sheetViews>
    <sheetView workbookViewId="0" topLeftCell="A15">
      <selection activeCell="E30" sqref="E30"/>
    </sheetView>
  </sheetViews>
  <sheetFormatPr defaultColWidth="9.140625" defaultRowHeight="12.75"/>
  <cols>
    <col min="1" max="1" width="23.421875" style="45" bestFit="1" customWidth="1"/>
    <col min="2" max="2" width="19.57421875" style="5" customWidth="1"/>
    <col min="3" max="3" width="19.421875" style="5" bestFit="1" customWidth="1"/>
    <col min="4" max="4" width="18.57421875" style="5" bestFit="1" customWidth="1"/>
    <col min="5" max="5" width="18.57421875" style="5" customWidth="1"/>
    <col min="6" max="6" width="13.421875" style="45" customWidth="1"/>
    <col min="7" max="7" width="20.57421875" style="45" customWidth="1"/>
    <col min="8" max="8" width="37.7109375" style="45" customWidth="1"/>
    <col min="9" max="9" width="16.57421875" style="76" customWidth="1"/>
    <col min="10" max="10" width="4.57421875" style="76" customWidth="1"/>
    <col min="11" max="11" width="16.57421875" style="76" customWidth="1"/>
    <col min="12" max="14" width="15.00390625" style="45" customWidth="1"/>
    <col min="15" max="16384" width="9.140625" style="45" customWidth="1"/>
  </cols>
  <sheetData>
    <row r="1" spans="1:14" ht="15.75">
      <c r="A1" s="961" t="s">
        <v>251</v>
      </c>
      <c r="B1" s="961"/>
      <c r="C1" s="961"/>
      <c r="D1" s="961"/>
      <c r="E1" s="961"/>
      <c r="F1" s="338" t="s">
        <v>31</v>
      </c>
      <c r="G1" s="339" t="s">
        <v>190</v>
      </c>
      <c r="H1" s="149" t="s">
        <v>407</v>
      </c>
      <c r="I1" s="150" t="s">
        <v>31</v>
      </c>
      <c r="J1" s="150"/>
      <c r="K1" s="189" t="s">
        <v>246</v>
      </c>
      <c r="L1" s="231"/>
      <c r="M1" s="231"/>
      <c r="N1" s="231"/>
    </row>
    <row r="2" spans="1:11" ht="20.25">
      <c r="A2" s="959" t="s">
        <v>248</v>
      </c>
      <c r="B2" s="959"/>
      <c r="C2" s="959"/>
      <c r="D2" s="959"/>
      <c r="E2" s="959"/>
      <c r="F2" s="151"/>
      <c r="G2" s="79"/>
      <c r="H2" s="75" t="s">
        <v>408</v>
      </c>
      <c r="I2" s="152"/>
      <c r="K2" s="190"/>
    </row>
    <row r="3" spans="1:11" ht="20.25">
      <c r="A3" s="960">
        <v>37802</v>
      </c>
      <c r="B3" s="960"/>
      <c r="C3" s="960"/>
      <c r="D3" s="960"/>
      <c r="E3" s="960"/>
      <c r="F3" s="151"/>
      <c r="G3" s="153"/>
      <c r="H3" s="76"/>
      <c r="K3" s="190" t="s">
        <v>261</v>
      </c>
    </row>
    <row r="4" spans="1:11" ht="15.75">
      <c r="A4" s="2"/>
      <c r="B4" s="2" t="s">
        <v>187</v>
      </c>
      <c r="C4" s="2"/>
      <c r="D4" s="80"/>
      <c r="E4" s="80"/>
      <c r="F4" s="154" t="s">
        <v>409</v>
      </c>
      <c r="H4" s="76"/>
      <c r="K4" s="190"/>
    </row>
    <row r="5" spans="1:11" ht="15.75">
      <c r="A5" s="81"/>
      <c r="B5" s="82" t="s">
        <v>404</v>
      </c>
      <c r="C5" s="3" t="s">
        <v>405</v>
      </c>
      <c r="D5" s="83" t="s">
        <v>406</v>
      </c>
      <c r="E5" s="80"/>
      <c r="F5" s="155" t="s">
        <v>410</v>
      </c>
      <c r="G5" s="77" t="s">
        <v>411</v>
      </c>
      <c r="H5" s="75" t="s">
        <v>412</v>
      </c>
      <c r="I5" s="78" t="s">
        <v>413</v>
      </c>
      <c r="J5" s="75"/>
      <c r="K5" s="191" t="s">
        <v>414</v>
      </c>
    </row>
    <row r="6" spans="1:11" ht="15.75">
      <c r="A6" s="86"/>
      <c r="B6" s="80"/>
      <c r="C6" s="170"/>
      <c r="D6" s="80"/>
      <c r="E6" s="80"/>
      <c r="F6" s="156"/>
      <c r="G6" s="85"/>
      <c r="H6" s="84"/>
      <c r="I6" s="84"/>
      <c r="J6" s="84"/>
      <c r="K6" s="192"/>
    </row>
    <row r="7" spans="1:11" ht="15.75">
      <c r="A7" s="87"/>
      <c r="B7" s="80"/>
      <c r="C7" s="80"/>
      <c r="D7" s="80"/>
      <c r="E7" s="80"/>
      <c r="F7" s="156"/>
      <c r="G7" s="85"/>
      <c r="H7" s="84"/>
      <c r="I7" s="84"/>
      <c r="J7" s="84"/>
      <c r="K7" s="192"/>
    </row>
    <row r="8" spans="1:14" ht="15.75">
      <c r="A8" s="264">
        <v>2002</v>
      </c>
      <c r="B8" s="157"/>
      <c r="C8" s="157"/>
      <c r="D8" s="158"/>
      <c r="E8" s="158"/>
      <c r="F8" s="159">
        <v>37802</v>
      </c>
      <c r="G8" s="76" t="s">
        <v>47</v>
      </c>
      <c r="H8" s="76" t="s">
        <v>53</v>
      </c>
      <c r="I8" s="76">
        <f>D9</f>
        <v>737754.17</v>
      </c>
      <c r="J8" s="84"/>
      <c r="K8" s="190"/>
      <c r="L8" s="230"/>
      <c r="M8" s="230"/>
      <c r="N8" s="230"/>
    </row>
    <row r="9" spans="1:14" ht="15.75">
      <c r="A9" s="87" t="s">
        <v>376</v>
      </c>
      <c r="B9" s="199">
        <f>-'[1](1)IBNR Cal13'!C21</f>
        <v>0</v>
      </c>
      <c r="C9" s="199">
        <v>-737754.17</v>
      </c>
      <c r="D9" s="199">
        <f>B9-C9</f>
        <v>737754.17</v>
      </c>
      <c r="E9" s="160"/>
      <c r="F9" s="161"/>
      <c r="G9" s="76" t="s">
        <v>48</v>
      </c>
      <c r="H9" s="76" t="s">
        <v>54</v>
      </c>
      <c r="I9" s="76">
        <f>D10</f>
        <v>272517.95</v>
      </c>
      <c r="J9" s="84"/>
      <c r="K9" s="190"/>
      <c r="L9" s="230"/>
      <c r="M9" s="230"/>
      <c r="N9" s="230"/>
    </row>
    <row r="10" spans="1:14" ht="15.75">
      <c r="A10" s="87" t="s">
        <v>399</v>
      </c>
      <c r="B10" s="199">
        <f>-'[1](1)IBNR Cal13'!C22</f>
        <v>0</v>
      </c>
      <c r="C10" s="199">
        <v>-272517.95</v>
      </c>
      <c r="D10" s="199">
        <f>B10-C10</f>
        <v>272517.95</v>
      </c>
      <c r="E10" s="160"/>
      <c r="F10" s="161"/>
      <c r="G10" s="76" t="s">
        <v>49</v>
      </c>
      <c r="H10" s="76" t="s">
        <v>55</v>
      </c>
      <c r="I10" s="76">
        <f>D11</f>
        <v>4757.34</v>
      </c>
      <c r="J10" s="84"/>
      <c r="K10" s="190"/>
      <c r="L10" s="230"/>
      <c r="M10" s="230"/>
      <c r="N10" s="230"/>
    </row>
    <row r="11" spans="1:14" ht="15.75">
      <c r="A11" s="87" t="s">
        <v>378</v>
      </c>
      <c r="B11" s="293">
        <f>-'[1](1)IBNR Cal13'!C23</f>
        <v>0</v>
      </c>
      <c r="C11" s="199">
        <v>-4757.34</v>
      </c>
      <c r="D11" s="199">
        <f>B11-C11</f>
        <v>4757.34</v>
      </c>
      <c r="E11" s="160"/>
      <c r="F11" s="161"/>
      <c r="G11" s="76" t="s">
        <v>50</v>
      </c>
      <c r="H11" s="76" t="s">
        <v>56</v>
      </c>
      <c r="J11" s="84"/>
      <c r="K11" s="190">
        <f>I8</f>
        <v>737754.17</v>
      </c>
      <c r="L11" s="230"/>
      <c r="M11" s="230"/>
      <c r="N11" s="230"/>
    </row>
    <row r="12" spans="1:14" ht="15.75">
      <c r="A12" s="87"/>
      <c r="B12" s="199"/>
      <c r="C12" s="200"/>
      <c r="D12" s="199"/>
      <c r="E12" s="160"/>
      <c r="F12" s="161"/>
      <c r="G12" s="76" t="s">
        <v>51</v>
      </c>
      <c r="H12" s="76" t="s">
        <v>57</v>
      </c>
      <c r="J12" s="84"/>
      <c r="K12" s="190">
        <f>I9</f>
        <v>272517.95</v>
      </c>
      <c r="L12" s="230"/>
      <c r="M12" s="230"/>
      <c r="N12" s="230"/>
    </row>
    <row r="13" spans="1:14" ht="15.75">
      <c r="A13" s="87" t="s">
        <v>61</v>
      </c>
      <c r="B13" s="201">
        <f>SUM(B9:B12)</f>
        <v>0</v>
      </c>
      <c r="C13" s="201">
        <f>SUM(C9:C12)</f>
        <v>-1015029.4600000001</v>
      </c>
      <c r="D13" s="201">
        <f>SUM(D9:D12)</f>
        <v>1015029.4600000001</v>
      </c>
      <c r="E13" s="160"/>
      <c r="F13" s="161"/>
      <c r="G13" s="76" t="s">
        <v>52</v>
      </c>
      <c r="H13" s="76" t="s">
        <v>58</v>
      </c>
      <c r="J13" s="84"/>
      <c r="K13" s="190">
        <f>I10</f>
        <v>4757.34</v>
      </c>
      <c r="L13" s="230"/>
      <c r="M13" s="230"/>
      <c r="N13" s="230"/>
    </row>
    <row r="14" spans="1:14" ht="15.75">
      <c r="A14" s="285"/>
      <c r="B14" s="199"/>
      <c r="C14" s="200"/>
      <c r="D14" s="199"/>
      <c r="E14" s="163"/>
      <c r="F14" s="161"/>
      <c r="G14" s="76"/>
      <c r="H14" s="76"/>
      <c r="J14" s="84"/>
      <c r="K14" s="190"/>
      <c r="L14" s="230"/>
      <c r="M14" s="230"/>
      <c r="N14" s="230"/>
    </row>
    <row r="15" spans="1:14" ht="15.75">
      <c r="A15" s="264">
        <v>2003</v>
      </c>
      <c r="B15" s="202"/>
      <c r="C15" s="202"/>
      <c r="D15" s="203"/>
      <c r="E15" s="158"/>
      <c r="F15" s="161"/>
      <c r="G15" s="76" t="s">
        <v>33</v>
      </c>
      <c r="H15" s="76" t="s">
        <v>238</v>
      </c>
      <c r="J15" s="84"/>
      <c r="K15" s="190">
        <f>-D16</f>
        <v>664860.7953114785</v>
      </c>
      <c r="L15" s="230"/>
      <c r="M15" s="230"/>
      <c r="N15" s="230"/>
    </row>
    <row r="16" spans="1:14" ht="15.75">
      <c r="A16" s="87" t="s">
        <v>376</v>
      </c>
      <c r="B16" s="199">
        <f>-'[1](1)IBNR Cal13'!C27</f>
        <v>-929888.0153114785</v>
      </c>
      <c r="C16" s="199">
        <v>-265027.22</v>
      </c>
      <c r="D16" s="199">
        <f>B16-C16</f>
        <v>-664860.7953114785</v>
      </c>
      <c r="E16" s="160"/>
      <c r="F16" s="161"/>
      <c r="G16" s="76" t="s">
        <v>34</v>
      </c>
      <c r="H16" s="76" t="s">
        <v>239</v>
      </c>
      <c r="J16" s="84"/>
      <c r="K16" s="190">
        <f>-D17</f>
        <v>216633.17796003202</v>
      </c>
      <c r="L16" s="230"/>
      <c r="M16" s="230"/>
      <c r="N16" s="230"/>
    </row>
    <row r="17" spans="1:14" ht="15.75">
      <c r="A17" s="87" t="s">
        <v>399</v>
      </c>
      <c r="B17" s="199">
        <f>-'[1](1)IBNR Cal13'!C28</f>
        <v>-302248.25796003203</v>
      </c>
      <c r="C17" s="199">
        <v>-85615.08</v>
      </c>
      <c r="D17" s="199">
        <f>B17-C17</f>
        <v>-216633.17796003202</v>
      </c>
      <c r="E17" s="160"/>
      <c r="F17" s="161"/>
      <c r="G17" s="76" t="s">
        <v>35</v>
      </c>
      <c r="H17" s="76" t="s">
        <v>240</v>
      </c>
      <c r="J17" s="84"/>
      <c r="K17" s="190">
        <f>-D18</f>
        <v>2832.0896709593467</v>
      </c>
      <c r="L17" s="230"/>
      <c r="M17" s="230"/>
      <c r="N17" s="230"/>
    </row>
    <row r="18" spans="1:14" ht="15.75">
      <c r="A18" s="87" t="s">
        <v>378</v>
      </c>
      <c r="B18" s="199">
        <f>-'[1](1)IBNR Cal13'!C29</f>
        <v>-4148.069670959347</v>
      </c>
      <c r="C18" s="199">
        <v>-1315.98</v>
      </c>
      <c r="D18" s="199">
        <f>B18-C18</f>
        <v>-2832.0896709593467</v>
      </c>
      <c r="E18" s="160"/>
      <c r="F18" s="161"/>
      <c r="G18" s="76" t="s">
        <v>36</v>
      </c>
      <c r="H18" s="76" t="s">
        <v>241</v>
      </c>
      <c r="I18" s="76">
        <f>K15</f>
        <v>664860.7953114785</v>
      </c>
      <c r="J18" s="84"/>
      <c r="K18" s="190"/>
      <c r="L18" s="230"/>
      <c r="M18" s="230"/>
      <c r="N18" s="230"/>
    </row>
    <row r="19" spans="1:14" ht="15.75">
      <c r="A19" s="89"/>
      <c r="B19" s="199"/>
      <c r="C19" s="200"/>
      <c r="D19" s="199"/>
      <c r="E19" s="160"/>
      <c r="F19" s="161"/>
      <c r="G19" s="76" t="s">
        <v>40</v>
      </c>
      <c r="H19" s="76" t="s">
        <v>242</v>
      </c>
      <c r="I19" s="76">
        <f>K16</f>
        <v>216633.17796003202</v>
      </c>
      <c r="J19" s="84"/>
      <c r="K19" s="190"/>
      <c r="L19" s="230"/>
      <c r="M19" s="230"/>
      <c r="N19" s="230"/>
    </row>
    <row r="20" spans="1:14" ht="15.75">
      <c r="A20" s="87" t="s">
        <v>61</v>
      </c>
      <c r="B20" s="201">
        <f>SUM(B16:B19)</f>
        <v>-1236284.34294247</v>
      </c>
      <c r="C20" s="201">
        <f>SUM(C16:C19)</f>
        <v>-351958.27999999997</v>
      </c>
      <c r="D20" s="201">
        <f>SUM(D16:D19)</f>
        <v>-884326.06294247</v>
      </c>
      <c r="E20" s="160"/>
      <c r="F20" s="161"/>
      <c r="G20" s="76" t="s">
        <v>41</v>
      </c>
      <c r="H20" s="76" t="s">
        <v>243</v>
      </c>
      <c r="I20" s="368">
        <f>K17</f>
        <v>2832.0896709593467</v>
      </c>
      <c r="J20" s="84"/>
      <c r="K20" s="190"/>
      <c r="L20" s="80"/>
      <c r="M20" s="80"/>
      <c r="N20" s="80"/>
    </row>
    <row r="21" spans="1:11" ht="16.5" thickBot="1">
      <c r="A21" s="89"/>
      <c r="B21" s="160"/>
      <c r="C21" s="162"/>
      <c r="D21" s="160"/>
      <c r="E21" s="87"/>
      <c r="F21" s="66" t="s">
        <v>415</v>
      </c>
      <c r="G21" s="10"/>
      <c r="H21" s="10"/>
      <c r="I21" s="367">
        <f>SUM(I8:I20)+0.01</f>
        <v>1899355.53294247</v>
      </c>
      <c r="J21" s="193"/>
      <c r="K21" s="194">
        <f>SUM(K8:K20)+0.01</f>
        <v>1899355.53294247</v>
      </c>
    </row>
    <row r="22" spans="1:11" ht="16.5" thickTop="1">
      <c r="A22" s="89"/>
      <c r="B22" s="160"/>
      <c r="C22" s="162"/>
      <c r="D22" s="160"/>
      <c r="E22" s="90"/>
      <c r="F22" s="65"/>
      <c r="G22" s="10"/>
      <c r="H22" s="10"/>
      <c r="I22" s="169"/>
      <c r="J22" s="169"/>
      <c r="K22" s="195"/>
    </row>
    <row r="23" spans="1:11" ht="16.5" thickBot="1">
      <c r="A23" s="164" t="s">
        <v>249</v>
      </c>
      <c r="B23" s="270">
        <f>B13+B20</f>
        <v>-1236284.34294247</v>
      </c>
      <c r="C23" s="270">
        <f>C13+C20</f>
        <v>-1366987.74</v>
      </c>
      <c r="D23" s="270">
        <f>D13+D20</f>
        <v>130703.39705753012</v>
      </c>
      <c r="E23" s="165"/>
      <c r="F23" s="66" t="s">
        <v>416</v>
      </c>
      <c r="G23" s="67" t="s">
        <v>244</v>
      </c>
      <c r="H23" s="10"/>
      <c r="I23" s="169"/>
      <c r="J23" s="169"/>
      <c r="K23" s="195"/>
    </row>
    <row r="24" spans="1:11" ht="16.5" thickTop="1">
      <c r="A24" s="87"/>
      <c r="B24" s="87" t="s">
        <v>231</v>
      </c>
      <c r="C24" s="369" t="s">
        <v>104</v>
      </c>
      <c r="D24" s="87"/>
      <c r="E24" s="90"/>
      <c r="F24" s="66" t="s">
        <v>247</v>
      </c>
      <c r="G24" s="67" t="s">
        <v>245</v>
      </c>
      <c r="H24" s="67"/>
      <c r="I24" s="169"/>
      <c r="J24" s="169"/>
      <c r="K24" s="195" t="s">
        <v>261</v>
      </c>
    </row>
    <row r="25" spans="1:11" ht="15.75">
      <c r="A25" s="2"/>
      <c r="B25" s="370" t="s">
        <v>94</v>
      </c>
      <c r="C25" s="370" t="s">
        <v>95</v>
      </c>
      <c r="D25" s="166"/>
      <c r="E25" s="90"/>
      <c r="F25" s="65"/>
      <c r="H25" s="67"/>
      <c r="I25" s="169"/>
      <c r="J25" s="169"/>
      <c r="K25" s="195"/>
    </row>
    <row r="26" spans="2:11" ht="15.75">
      <c r="B26" s="167"/>
      <c r="C26" s="167"/>
      <c r="D26" s="167"/>
      <c r="E26" s="90"/>
      <c r="F26" s="65"/>
      <c r="G26" s="10"/>
      <c r="H26" s="10"/>
      <c r="I26" s="169"/>
      <c r="J26" s="169"/>
      <c r="K26" s="195"/>
    </row>
    <row r="27" spans="1:11" ht="15.75">
      <c r="A27" s="2"/>
      <c r="B27" s="166"/>
      <c r="C27" s="166"/>
      <c r="D27" s="166"/>
      <c r="E27" s="90"/>
      <c r="F27" s="65"/>
      <c r="G27" s="10"/>
      <c r="H27" s="10"/>
      <c r="I27" s="169"/>
      <c r="J27" s="169"/>
      <c r="K27" s="195"/>
    </row>
    <row r="28" spans="1:11" ht="15.75">
      <c r="A28" s="2"/>
      <c r="B28" s="90"/>
      <c r="C28" s="90"/>
      <c r="D28" s="90"/>
      <c r="E28" s="90"/>
      <c r="F28" s="161"/>
      <c r="G28" s="10"/>
      <c r="H28" s="10"/>
      <c r="I28" s="169"/>
      <c r="J28" s="169"/>
      <c r="K28" s="195"/>
    </row>
    <row r="29" spans="1:11" ht="27" thickBot="1">
      <c r="A29" s="2"/>
      <c r="B29" s="90"/>
      <c r="C29" s="90"/>
      <c r="D29" s="90"/>
      <c r="E29" s="90"/>
      <c r="F29" s="66"/>
      <c r="G29" s="168"/>
      <c r="H29" s="72"/>
      <c r="I29" s="196" t="s">
        <v>410</v>
      </c>
      <c r="J29" s="196"/>
      <c r="K29" s="195"/>
    </row>
    <row r="30" spans="1:11" ht="15.75">
      <c r="A30" s="2"/>
      <c r="B30" s="90"/>
      <c r="C30" s="90"/>
      <c r="D30" s="90"/>
      <c r="E30" s="90"/>
      <c r="F30" s="66" t="s">
        <v>417</v>
      </c>
      <c r="G30" s="67" t="s">
        <v>64</v>
      </c>
      <c r="H30" s="67"/>
      <c r="I30" s="269">
        <v>37825</v>
      </c>
      <c r="J30" s="196"/>
      <c r="K30" s="195"/>
    </row>
    <row r="31" spans="1:11" ht="15.75">
      <c r="A31" s="2"/>
      <c r="B31" s="90"/>
      <c r="C31" s="90"/>
      <c r="D31" s="90"/>
      <c r="E31" s="2"/>
      <c r="F31" s="161"/>
      <c r="G31" s="67"/>
      <c r="H31" s="67"/>
      <c r="I31" s="196"/>
      <c r="J31" s="196"/>
      <c r="K31" s="195"/>
    </row>
    <row r="32" spans="1:11" ht="16.5" thickBot="1">
      <c r="A32" s="2"/>
      <c r="B32" s="90"/>
      <c r="C32" s="90"/>
      <c r="D32" s="90"/>
      <c r="E32" s="2"/>
      <c r="F32" s="66"/>
      <c r="G32" s="72"/>
      <c r="H32" s="72"/>
      <c r="I32" s="196"/>
      <c r="J32" s="196"/>
      <c r="K32" s="195"/>
    </row>
    <row r="33" spans="1:11" ht="15.75">
      <c r="A33" s="2"/>
      <c r="B33" s="90"/>
      <c r="C33" s="90"/>
      <c r="D33" s="90"/>
      <c r="E33" s="2"/>
      <c r="F33" s="66" t="s">
        <v>62</v>
      </c>
      <c r="G33" s="67" t="s">
        <v>451</v>
      </c>
      <c r="H33" s="67"/>
      <c r="I33" s="196"/>
      <c r="J33" s="196"/>
      <c r="K33" s="195"/>
    </row>
    <row r="34" spans="1:11" ht="15.75">
      <c r="A34" s="2"/>
      <c r="B34" s="90"/>
      <c r="C34" s="90"/>
      <c r="D34" s="90"/>
      <c r="E34" s="2"/>
      <c r="F34" s="161"/>
      <c r="G34" s="67"/>
      <c r="H34" s="67"/>
      <c r="I34" s="196"/>
      <c r="J34" s="196"/>
      <c r="K34" s="195"/>
    </row>
    <row r="35" spans="1:11" ht="16.5" thickBot="1">
      <c r="A35" s="2"/>
      <c r="B35" s="90"/>
      <c r="C35" s="90"/>
      <c r="D35" s="90"/>
      <c r="E35" s="2"/>
      <c r="F35" s="161"/>
      <c r="G35" s="72"/>
      <c r="H35" s="72"/>
      <c r="I35" s="196"/>
      <c r="J35" s="196"/>
      <c r="K35" s="195"/>
    </row>
    <row r="36" spans="1:11" ht="15.75">
      <c r="A36" s="2"/>
      <c r="B36" s="90"/>
      <c r="C36" s="90"/>
      <c r="D36" s="90"/>
      <c r="E36" s="2"/>
      <c r="F36" s="66" t="s">
        <v>418</v>
      </c>
      <c r="G36" s="67" t="s">
        <v>63</v>
      </c>
      <c r="H36" s="67"/>
      <c r="I36" s="196"/>
      <c r="J36" s="196"/>
      <c r="K36" s="195"/>
    </row>
    <row r="37" spans="1:11" ht="15.75">
      <c r="A37" s="2"/>
      <c r="B37" s="2"/>
      <c r="C37" s="2"/>
      <c r="D37" s="2"/>
      <c r="E37" s="2"/>
      <c r="F37" s="161"/>
      <c r="H37" s="67"/>
      <c r="I37" s="196"/>
      <c r="J37" s="196" t="s">
        <v>421</v>
      </c>
      <c r="K37" s="355"/>
    </row>
    <row r="38" spans="1:11" ht="16.5" thickBot="1">
      <c r="A38" s="2"/>
      <c r="B38" s="2"/>
      <c r="C38" s="2"/>
      <c r="D38" s="2"/>
      <c r="E38" s="2"/>
      <c r="F38" s="73"/>
      <c r="G38" s="72"/>
      <c r="H38" s="72"/>
      <c r="I38" s="196"/>
      <c r="J38" s="196"/>
      <c r="K38" s="195"/>
    </row>
    <row r="39" spans="1:14" ht="16.5" thickBot="1">
      <c r="A39" s="2"/>
      <c r="B39" s="2"/>
      <c r="C39" s="2"/>
      <c r="D39" s="2"/>
      <c r="E39" s="2"/>
      <c r="F39" s="294" t="s">
        <v>420</v>
      </c>
      <c r="G39" s="72" t="s">
        <v>230</v>
      </c>
      <c r="H39" s="72"/>
      <c r="I39" s="197"/>
      <c r="J39" s="197"/>
      <c r="K39" s="198"/>
      <c r="L39" s="232"/>
      <c r="M39" s="232"/>
      <c r="N39" s="232"/>
    </row>
    <row r="40" spans="1:8" ht="15.75">
      <c r="A40" s="2"/>
      <c r="B40" s="2"/>
      <c r="C40" s="2"/>
      <c r="D40" s="2"/>
      <c r="E40" s="2"/>
      <c r="F40" s="2"/>
      <c r="G40" s="76"/>
      <c r="H40" s="76"/>
    </row>
    <row r="41" spans="1:6" ht="15.75">
      <c r="A41" s="2"/>
      <c r="B41" s="2"/>
      <c r="C41" s="2"/>
      <c r="D41" s="2"/>
      <c r="E41" s="2"/>
      <c r="F41" s="288"/>
    </row>
    <row r="42" spans="1:8" ht="15.75">
      <c r="A42" s="2"/>
      <c r="B42" s="2"/>
      <c r="C42" s="2"/>
      <c r="D42" s="2"/>
      <c r="E42" s="2"/>
      <c r="F42" s="288"/>
      <c r="G42" s="79"/>
      <c r="H42" s="75"/>
    </row>
    <row r="43" spans="1:9" ht="15.75">
      <c r="A43" s="2"/>
      <c r="B43" s="2"/>
      <c r="C43" s="2"/>
      <c r="D43" s="2"/>
      <c r="E43" s="2"/>
      <c r="F43" s="288"/>
      <c r="G43" s="79"/>
      <c r="H43" s="75"/>
      <c r="I43" s="152"/>
    </row>
    <row r="44" spans="1:9" ht="15.75">
      <c r="A44" s="2"/>
      <c r="B44" s="2"/>
      <c r="C44" s="2"/>
      <c r="D44" s="2"/>
      <c r="E44" s="2"/>
      <c r="F44" s="288"/>
      <c r="G44" s="153"/>
      <c r="H44" s="76"/>
      <c r="I44" s="202"/>
    </row>
    <row r="45" spans="1:8" ht="15.75">
      <c r="A45" s="2"/>
      <c r="B45" s="2"/>
      <c r="C45" s="2"/>
      <c r="D45" s="2"/>
      <c r="E45" s="2"/>
      <c r="F45" s="91"/>
      <c r="H45" s="76"/>
    </row>
    <row r="46" spans="1:11" ht="15.75">
      <c r="A46" s="2"/>
      <c r="B46" s="2"/>
      <c r="C46" s="2"/>
      <c r="D46" s="2"/>
      <c r="E46" s="2"/>
      <c r="F46" s="292"/>
      <c r="G46" s="292"/>
      <c r="H46" s="75"/>
      <c r="I46" s="75"/>
      <c r="J46" s="75"/>
      <c r="K46" s="75"/>
    </row>
    <row r="47" spans="1:11" ht="15.75">
      <c r="A47" s="2"/>
      <c r="B47" s="2"/>
      <c r="C47" s="2"/>
      <c r="D47" s="2"/>
      <c r="E47" s="2"/>
      <c r="F47" s="85"/>
      <c r="G47" s="85"/>
      <c r="H47" s="84"/>
      <c r="I47" s="84"/>
      <c r="J47" s="84"/>
      <c r="K47" s="84"/>
    </row>
    <row r="48" spans="1:11" ht="15.75">
      <c r="A48" s="2"/>
      <c r="B48" s="2"/>
      <c r="C48" s="2"/>
      <c r="D48" s="2"/>
      <c r="E48" s="2"/>
      <c r="F48" s="85"/>
      <c r="G48" s="85"/>
      <c r="H48" s="84"/>
      <c r="I48" s="84"/>
      <c r="J48" s="84"/>
      <c r="K48" s="84"/>
    </row>
    <row r="49" spans="1:10" ht="15.75">
      <c r="A49" s="2"/>
      <c r="B49" s="2"/>
      <c r="C49" s="2"/>
      <c r="D49" s="2"/>
      <c r="E49" s="2"/>
      <c r="F49" s="286"/>
      <c r="G49" s="76"/>
      <c r="H49" s="76"/>
      <c r="J49" s="84"/>
    </row>
    <row r="50" spans="1:10" ht="15.75">
      <c r="A50" s="2"/>
      <c r="B50" s="2"/>
      <c r="C50" s="2"/>
      <c r="D50" s="2"/>
      <c r="E50" s="2"/>
      <c r="G50" s="76"/>
      <c r="H50" s="76"/>
      <c r="J50" s="84"/>
    </row>
    <row r="51" spans="1:10" ht="15.75">
      <c r="A51" s="2"/>
      <c r="B51" s="2"/>
      <c r="C51" s="2"/>
      <c r="D51" s="2"/>
      <c r="E51" s="2"/>
      <c r="G51" s="76"/>
      <c r="H51" s="76"/>
      <c r="J51" s="84"/>
    </row>
    <row r="52" spans="1:10" ht="15.75">
      <c r="A52" s="2"/>
      <c r="B52" s="2"/>
      <c r="C52" s="2"/>
      <c r="D52" s="2"/>
      <c r="E52" s="2"/>
      <c r="G52" s="76"/>
      <c r="H52" s="76"/>
      <c r="J52" s="84"/>
    </row>
    <row r="53" spans="1:10" ht="15.75">
      <c r="A53" s="2"/>
      <c r="B53" s="2"/>
      <c r="C53" s="2"/>
      <c r="D53" s="2"/>
      <c r="E53" s="2"/>
      <c r="G53" s="76"/>
      <c r="H53" s="76"/>
      <c r="J53" s="84"/>
    </row>
    <row r="54" spans="1:10" ht="15.75">
      <c r="A54" s="2"/>
      <c r="B54" s="2"/>
      <c r="C54" s="2"/>
      <c r="D54" s="2"/>
      <c r="E54" s="2"/>
      <c r="G54" s="76"/>
      <c r="H54" s="76"/>
      <c r="J54" s="84"/>
    </row>
    <row r="55" spans="1:10" ht="15.75">
      <c r="A55" s="2"/>
      <c r="B55" s="2"/>
      <c r="C55" s="2"/>
      <c r="D55" s="2"/>
      <c r="E55" s="2"/>
      <c r="G55" s="76"/>
      <c r="H55" s="76"/>
      <c r="J55" s="84"/>
    </row>
    <row r="56" spans="1:10" ht="15.75">
      <c r="A56" s="2"/>
      <c r="B56" s="2"/>
      <c r="C56" s="2"/>
      <c r="D56" s="2"/>
      <c r="E56" s="2"/>
      <c r="G56" s="76"/>
      <c r="H56" s="76"/>
      <c r="J56" s="84"/>
    </row>
    <row r="57" spans="1:10" ht="15.75">
      <c r="A57" s="2"/>
      <c r="B57" s="2"/>
      <c r="C57" s="2"/>
      <c r="D57" s="2"/>
      <c r="E57" s="2"/>
      <c r="G57" s="76"/>
      <c r="H57" s="76"/>
      <c r="J57" s="84"/>
    </row>
    <row r="58" spans="1:10" ht="15.75">
      <c r="A58" s="2"/>
      <c r="B58" s="2"/>
      <c r="C58" s="2"/>
      <c r="D58" s="2"/>
      <c r="E58" s="2"/>
      <c r="G58" s="76"/>
      <c r="H58" s="76"/>
      <c r="J58" s="84"/>
    </row>
    <row r="59" spans="1:10" ht="15.75">
      <c r="A59" s="2"/>
      <c r="B59" s="2"/>
      <c r="C59" s="2"/>
      <c r="D59" s="2"/>
      <c r="E59" s="93"/>
      <c r="G59" s="76"/>
      <c r="H59" s="76"/>
      <c r="J59" s="84"/>
    </row>
    <row r="60" spans="1:10" ht="15.75">
      <c r="A60" s="2"/>
      <c r="B60" s="2"/>
      <c r="C60" s="2"/>
      <c r="D60" s="2"/>
      <c r="E60" s="93"/>
      <c r="G60" s="76"/>
      <c r="H60" s="76"/>
      <c r="J60" s="84"/>
    </row>
    <row r="61" spans="1:11" ht="15.75">
      <c r="A61" s="2"/>
      <c r="B61" s="2"/>
      <c r="C61" s="2"/>
      <c r="D61" s="2"/>
      <c r="E61" s="93"/>
      <c r="F61" s="67"/>
      <c r="G61" s="10"/>
      <c r="H61" s="10"/>
      <c r="I61" s="199"/>
      <c r="J61" s="199"/>
      <c r="K61" s="199"/>
    </row>
    <row r="62" spans="1:11" s="2" customFormat="1" ht="15.75">
      <c r="A62" s="92"/>
      <c r="B62" s="92"/>
      <c r="C62" s="93"/>
      <c r="D62" s="93"/>
      <c r="E62" s="93"/>
      <c r="F62" s="10"/>
      <c r="G62" s="10"/>
      <c r="H62" s="10"/>
      <c r="I62" s="169"/>
      <c r="J62" s="169"/>
      <c r="K62" s="169"/>
    </row>
    <row r="63" spans="1:11" s="2" customFormat="1" ht="15.75">
      <c r="A63" s="92"/>
      <c r="B63" s="92"/>
      <c r="C63" s="93"/>
      <c r="D63" s="93"/>
      <c r="E63" s="93"/>
      <c r="F63" s="10"/>
      <c r="G63" s="10"/>
      <c r="H63" s="10"/>
      <c r="I63" s="169"/>
      <c r="J63" s="169"/>
      <c r="K63" s="169"/>
    </row>
    <row r="64" spans="1:11" s="2" customFormat="1" ht="15.75">
      <c r="A64" s="92"/>
      <c r="B64" s="92"/>
      <c r="C64" s="93"/>
      <c r="D64" s="93"/>
      <c r="E64" s="93"/>
      <c r="F64" s="67"/>
      <c r="G64" s="67"/>
      <c r="H64" s="67"/>
      <c r="I64" s="169"/>
      <c r="J64" s="169"/>
      <c r="K64" s="169"/>
    </row>
    <row r="65" spans="1:11" s="2" customFormat="1" ht="15.75">
      <c r="A65" s="92"/>
      <c r="B65" s="92"/>
      <c r="C65" s="93"/>
      <c r="D65" s="93"/>
      <c r="E65" s="93"/>
      <c r="F65" s="67"/>
      <c r="G65" s="67"/>
      <c r="H65" s="67"/>
      <c r="I65" s="169"/>
      <c r="J65" s="169"/>
      <c r="K65" s="169"/>
    </row>
    <row r="66" spans="1:11" s="2" customFormat="1" ht="15.75">
      <c r="A66" s="92"/>
      <c r="B66" s="92"/>
      <c r="C66" s="93"/>
      <c r="D66" s="93"/>
      <c r="E66" s="93"/>
      <c r="F66" s="10"/>
      <c r="G66" s="10"/>
      <c r="H66" s="10"/>
      <c r="I66" s="169"/>
      <c r="J66" s="169"/>
      <c r="K66" s="169"/>
    </row>
    <row r="67" spans="1:11" ht="15.75">
      <c r="A67" s="92"/>
      <c r="B67" s="92"/>
      <c r="C67" s="93"/>
      <c r="D67" s="93"/>
      <c r="E67" s="93"/>
      <c r="F67" s="10"/>
      <c r="G67" s="10"/>
      <c r="H67" s="10"/>
      <c r="I67" s="169"/>
      <c r="J67" s="169"/>
      <c r="K67" s="169"/>
    </row>
    <row r="68" spans="1:11" ht="15.75">
      <c r="A68" s="92"/>
      <c r="B68" s="92"/>
      <c r="C68" s="93"/>
      <c r="D68" s="93"/>
      <c r="E68" s="93"/>
      <c r="F68" s="10"/>
      <c r="G68" s="10"/>
      <c r="H68" s="10"/>
      <c r="I68" s="169"/>
      <c r="J68" s="169"/>
      <c r="K68" s="169"/>
    </row>
    <row r="69" spans="1:11" ht="26.25">
      <c r="A69" s="92"/>
      <c r="B69" s="92"/>
      <c r="C69" s="93"/>
      <c r="D69" s="93"/>
      <c r="E69" s="93"/>
      <c r="F69" s="67"/>
      <c r="G69" s="295"/>
      <c r="H69" s="67"/>
      <c r="I69" s="286"/>
      <c r="J69" s="196"/>
      <c r="K69" s="169"/>
    </row>
    <row r="70" spans="1:11" ht="15.75">
      <c r="A70" s="92"/>
      <c r="B70" s="92"/>
      <c r="C70" s="93"/>
      <c r="D70" s="93"/>
      <c r="E70" s="93"/>
      <c r="F70" s="67"/>
      <c r="G70" s="67"/>
      <c r="H70" s="67"/>
      <c r="I70" s="196"/>
      <c r="J70" s="196"/>
      <c r="K70" s="169"/>
    </row>
    <row r="71" spans="1:11" ht="15.75">
      <c r="A71" s="92"/>
      <c r="B71" s="92"/>
      <c r="C71" s="93"/>
      <c r="D71" s="93"/>
      <c r="E71" s="93"/>
      <c r="F71" s="67"/>
      <c r="G71" s="67"/>
      <c r="H71" s="67"/>
      <c r="I71" s="196"/>
      <c r="J71" s="196"/>
      <c r="K71" s="169"/>
    </row>
    <row r="72" spans="1:11" ht="15.75">
      <c r="A72" s="92"/>
      <c r="B72" s="92"/>
      <c r="C72" s="93"/>
      <c r="D72" s="93"/>
      <c r="E72" s="93"/>
      <c r="F72" s="67"/>
      <c r="G72" s="67"/>
      <c r="H72" s="67"/>
      <c r="I72" s="196"/>
      <c r="J72" s="196"/>
      <c r="K72" s="169"/>
    </row>
    <row r="73" spans="1:11" ht="15.75">
      <c r="A73" s="92"/>
      <c r="B73" s="92"/>
      <c r="C73" s="93"/>
      <c r="D73" s="93"/>
      <c r="E73" s="93"/>
      <c r="F73" s="67"/>
      <c r="G73" s="67"/>
      <c r="H73" s="67"/>
      <c r="I73" s="196"/>
      <c r="J73" s="196"/>
      <c r="K73" s="169"/>
    </row>
    <row r="74" spans="1:11" ht="15.75">
      <c r="A74" s="92"/>
      <c r="B74" s="92"/>
      <c r="C74" s="93"/>
      <c r="D74" s="93"/>
      <c r="E74" s="93"/>
      <c r="F74" s="67"/>
      <c r="G74" s="67"/>
      <c r="H74" s="67"/>
      <c r="I74" s="196"/>
      <c r="J74" s="196"/>
      <c r="K74" s="169"/>
    </row>
    <row r="75" spans="1:11" ht="15.75">
      <c r="A75" s="92"/>
      <c r="B75" s="92"/>
      <c r="C75" s="93"/>
      <c r="D75" s="93"/>
      <c r="E75" s="93"/>
      <c r="F75" s="67"/>
      <c r="G75" s="67"/>
      <c r="H75" s="67"/>
      <c r="I75" s="196"/>
      <c r="J75" s="196"/>
      <c r="K75" s="169"/>
    </row>
    <row r="76" spans="1:11" ht="15.75">
      <c r="A76" s="92"/>
      <c r="B76" s="92"/>
      <c r="C76" s="93"/>
      <c r="D76" s="93"/>
      <c r="E76" s="93"/>
      <c r="F76" s="67"/>
      <c r="G76" s="67"/>
      <c r="H76" s="67"/>
      <c r="I76" s="196"/>
      <c r="J76" s="196"/>
      <c r="K76" s="169"/>
    </row>
    <row r="77" spans="1:11" ht="15.75">
      <c r="A77" s="92"/>
      <c r="B77" s="92"/>
      <c r="C77" s="93"/>
      <c r="D77" s="93"/>
      <c r="E77" s="93"/>
      <c r="F77" s="67"/>
      <c r="H77" s="67"/>
      <c r="I77" s="196"/>
      <c r="J77" s="196"/>
      <c r="K77" s="169"/>
    </row>
    <row r="78" spans="1:11" ht="15.75">
      <c r="A78" s="92"/>
      <c r="B78" s="92"/>
      <c r="C78" s="93"/>
      <c r="D78" s="93"/>
      <c r="E78" s="93"/>
      <c r="F78" s="67"/>
      <c r="G78" s="67"/>
      <c r="H78" s="67"/>
      <c r="I78" s="196"/>
      <c r="J78" s="196"/>
      <c r="K78" s="169"/>
    </row>
    <row r="79" spans="1:11" ht="15.75">
      <c r="A79" s="92"/>
      <c r="B79" s="92"/>
      <c r="C79" s="93"/>
      <c r="D79" s="93"/>
      <c r="E79" s="93"/>
      <c r="F79" s="67"/>
      <c r="G79" s="67"/>
      <c r="H79" s="67"/>
      <c r="I79" s="196"/>
      <c r="J79" s="196"/>
      <c r="K79" s="169"/>
    </row>
    <row r="80" spans="1:5" ht="15.75">
      <c r="A80" s="92"/>
      <c r="B80" s="92"/>
      <c r="C80" s="93"/>
      <c r="D80" s="93"/>
      <c r="E80" s="93"/>
    </row>
    <row r="81" spans="1:5" ht="15.75">
      <c r="A81" s="92"/>
      <c r="B81" s="92"/>
      <c r="C81" s="93"/>
      <c r="D81" s="93"/>
      <c r="E81" s="93"/>
    </row>
    <row r="82" spans="1:5" ht="15.75">
      <c r="A82" s="92"/>
      <c r="B82" s="92"/>
      <c r="C82" s="93"/>
      <c r="D82" s="93"/>
      <c r="E82" s="93"/>
    </row>
    <row r="83" spans="1:5" ht="15.75">
      <c r="A83" s="92"/>
      <c r="B83" s="92"/>
      <c r="C83" s="93"/>
      <c r="D83" s="93"/>
      <c r="E83" s="93"/>
    </row>
    <row r="84" spans="1:5" ht="15.75">
      <c r="A84" s="92"/>
      <c r="B84" s="92"/>
      <c r="C84" s="93"/>
      <c r="D84" s="93"/>
      <c r="E84" s="93"/>
    </row>
    <row r="85" spans="1:5" ht="15.75">
      <c r="A85" s="92"/>
      <c r="B85" s="92"/>
      <c r="C85" s="93"/>
      <c r="D85" s="93"/>
      <c r="E85" s="93"/>
    </row>
    <row r="86" spans="1:5" ht="15.75">
      <c r="A86" s="92"/>
      <c r="B86" s="92"/>
      <c r="C86" s="93"/>
      <c r="D86" s="93"/>
      <c r="E86" s="93"/>
    </row>
    <row r="87" spans="1:5" ht="15.75">
      <c r="A87" s="92"/>
      <c r="B87" s="92"/>
      <c r="C87" s="93"/>
      <c r="D87" s="93"/>
      <c r="E87" s="93"/>
    </row>
    <row r="88" spans="1:5" ht="15.75">
      <c r="A88" s="92"/>
      <c r="B88" s="92"/>
      <c r="C88" s="93"/>
      <c r="D88" s="93"/>
      <c r="E88" s="93"/>
    </row>
    <row r="89" spans="1:5" ht="15.75">
      <c r="A89" s="92"/>
      <c r="B89" s="92"/>
      <c r="C89" s="93"/>
      <c r="D89" s="93"/>
      <c r="E89" s="93"/>
    </row>
    <row r="90" spans="1:5" ht="15.75">
      <c r="A90" s="92"/>
      <c r="B90" s="92"/>
      <c r="C90" s="93"/>
      <c r="D90" s="93"/>
      <c r="E90" s="93"/>
    </row>
    <row r="91" spans="1:5" ht="15.75">
      <c r="A91" s="92"/>
      <c r="B91" s="92"/>
      <c r="C91" s="93"/>
      <c r="D91" s="93"/>
      <c r="E91" s="93"/>
    </row>
    <row r="92" spans="1:5" ht="15.75">
      <c r="A92" s="92"/>
      <c r="B92" s="92"/>
      <c r="C92" s="93"/>
      <c r="D92" s="93"/>
      <c r="E92" s="93"/>
    </row>
    <row r="93" spans="1:5" ht="15.75">
      <c r="A93" s="92"/>
      <c r="B93" s="92"/>
      <c r="C93" s="93"/>
      <c r="D93" s="93"/>
      <c r="E93" s="93"/>
    </row>
    <row r="94" spans="1:5" ht="15.75">
      <c r="A94" s="92"/>
      <c r="B94" s="92"/>
      <c r="C94" s="93"/>
      <c r="D94" s="93"/>
      <c r="E94" s="93"/>
    </row>
    <row r="95" spans="1:5" ht="15.75">
      <c r="A95" s="92"/>
      <c r="B95" s="92"/>
      <c r="C95" s="93"/>
      <c r="D95" s="93"/>
      <c r="E95" s="93"/>
    </row>
    <row r="96" spans="1:5" ht="15.75">
      <c r="A96" s="92"/>
      <c r="B96" s="92"/>
      <c r="C96" s="93"/>
      <c r="D96" s="93"/>
      <c r="E96" s="93"/>
    </row>
    <row r="97" spans="1:5" ht="15.75">
      <c r="A97" s="92"/>
      <c r="B97" s="92"/>
      <c r="C97" s="93"/>
      <c r="D97" s="93"/>
      <c r="E97" s="93"/>
    </row>
    <row r="98" spans="1:5" ht="15.75">
      <c r="A98" s="92"/>
      <c r="B98" s="92"/>
      <c r="C98" s="93"/>
      <c r="D98" s="93"/>
      <c r="E98" s="93"/>
    </row>
    <row r="99" spans="1:5" ht="15.75">
      <c r="A99" s="92"/>
      <c r="B99" s="92"/>
      <c r="C99" s="93"/>
      <c r="D99" s="93"/>
      <c r="E99" s="93"/>
    </row>
    <row r="100" spans="1:5" ht="15.75">
      <c r="A100" s="92"/>
      <c r="B100" s="92"/>
      <c r="C100" s="93"/>
      <c r="D100" s="93"/>
      <c r="E100" s="93"/>
    </row>
    <row r="101" spans="1:5" ht="15.75">
      <c r="A101" s="92"/>
      <c r="B101" s="92"/>
      <c r="C101" s="93"/>
      <c r="D101" s="93"/>
      <c r="E101" s="93"/>
    </row>
    <row r="102" spans="1:5" ht="15.75">
      <c r="A102" s="92"/>
      <c r="B102" s="92"/>
      <c r="C102" s="93"/>
      <c r="D102" s="93"/>
      <c r="E102" s="93"/>
    </row>
    <row r="103" spans="1:5" ht="15.75">
      <c r="A103" s="92"/>
      <c r="B103" s="92"/>
      <c r="C103" s="93"/>
      <c r="D103" s="93"/>
      <c r="E103" s="93"/>
    </row>
    <row r="104" spans="1:5" ht="15.75">
      <c r="A104" s="92"/>
      <c r="B104" s="92"/>
      <c r="C104" s="93"/>
      <c r="D104" s="93"/>
      <c r="E104" s="93"/>
    </row>
    <row r="105" spans="1:5" ht="15.75">
      <c r="A105" s="92"/>
      <c r="B105" s="92"/>
      <c r="C105" s="93"/>
      <c r="D105" s="93"/>
      <c r="E105" s="93"/>
    </row>
    <row r="106" spans="1:5" ht="15.75">
      <c r="A106" s="92"/>
      <c r="B106" s="92"/>
      <c r="C106" s="93"/>
      <c r="D106" s="93"/>
      <c r="E106" s="93"/>
    </row>
    <row r="107" spans="1:5" ht="15.75">
      <c r="A107" s="92"/>
      <c r="B107" s="92"/>
      <c r="C107" s="93"/>
      <c r="D107" s="93"/>
      <c r="E107" s="93"/>
    </row>
    <row r="108" spans="1:5" ht="15.75">
      <c r="A108" s="92"/>
      <c r="B108" s="92"/>
      <c r="C108" s="93"/>
      <c r="D108" s="93"/>
      <c r="E108" s="93"/>
    </row>
    <row r="109" spans="1:5" ht="15.75">
      <c r="A109" s="92"/>
      <c r="B109" s="92"/>
      <c r="C109" s="93"/>
      <c r="D109" s="93"/>
      <c r="E109" s="93"/>
    </row>
    <row r="110" spans="1:5" ht="15.75">
      <c r="A110" s="92"/>
      <c r="B110" s="92"/>
      <c r="C110" s="93"/>
      <c r="D110" s="93"/>
      <c r="E110" s="93"/>
    </row>
    <row r="111" spans="1:5" ht="15.75">
      <c r="A111" s="92"/>
      <c r="B111" s="92"/>
      <c r="C111" s="93"/>
      <c r="D111" s="93"/>
      <c r="E111" s="93"/>
    </row>
    <row r="112" spans="1:5" ht="15.75">
      <c r="A112" s="92"/>
      <c r="B112" s="92"/>
      <c r="C112" s="93"/>
      <c r="D112" s="93"/>
      <c r="E112" s="93"/>
    </row>
    <row r="113" spans="1:5" ht="15.75">
      <c r="A113" s="92"/>
      <c r="B113" s="92"/>
      <c r="C113" s="93"/>
      <c r="D113" s="93"/>
      <c r="E113" s="93"/>
    </row>
    <row r="114" spans="1:5" ht="15.75">
      <c r="A114" s="92"/>
      <c r="B114" s="92"/>
      <c r="C114" s="93"/>
      <c r="D114" s="93"/>
      <c r="E114" s="93"/>
    </row>
    <row r="115" spans="1:5" ht="15.75">
      <c r="A115" s="92"/>
      <c r="B115" s="92"/>
      <c r="C115" s="93"/>
      <c r="D115" s="93"/>
      <c r="E115" s="93"/>
    </row>
    <row r="116" spans="1:5" ht="15.75">
      <c r="A116" s="92"/>
      <c r="B116" s="92"/>
      <c r="C116" s="93"/>
      <c r="D116" s="93"/>
      <c r="E116" s="93"/>
    </row>
    <row r="117" spans="1:5" ht="15.75">
      <c r="A117" s="92"/>
      <c r="B117" s="92"/>
      <c r="C117" s="93"/>
      <c r="D117" s="93"/>
      <c r="E117" s="93"/>
    </row>
    <row r="118" spans="1:5" ht="15.75">
      <c r="A118" s="92"/>
      <c r="B118" s="92"/>
      <c r="C118" s="93"/>
      <c r="D118" s="93"/>
      <c r="E118" s="93"/>
    </row>
    <row r="119" spans="1:5" ht="15.75">
      <c r="A119" s="92"/>
      <c r="B119" s="92"/>
      <c r="C119" s="93"/>
      <c r="D119" s="93"/>
      <c r="E119" s="93"/>
    </row>
    <row r="120" spans="1:5" ht="15.75">
      <c r="A120" s="92"/>
      <c r="B120" s="92"/>
      <c r="C120" s="93"/>
      <c r="D120" s="93"/>
      <c r="E120" s="93"/>
    </row>
    <row r="121" spans="1:5" ht="15.75">
      <c r="A121" s="92"/>
      <c r="B121" s="92"/>
      <c r="C121" s="93"/>
      <c r="D121" s="93"/>
      <c r="E121" s="93"/>
    </row>
    <row r="122" spans="1:5" ht="15.75">
      <c r="A122" s="92"/>
      <c r="B122" s="92"/>
      <c r="C122" s="93"/>
      <c r="D122" s="93"/>
      <c r="E122" s="93"/>
    </row>
    <row r="123" spans="1:5" ht="15.75">
      <c r="A123" s="92"/>
      <c r="B123" s="92"/>
      <c r="C123" s="93"/>
      <c r="D123" s="93"/>
      <c r="E123" s="93"/>
    </row>
    <row r="124" spans="1:5" ht="15.75">
      <c r="A124" s="92"/>
      <c r="B124" s="92"/>
      <c r="C124" s="93"/>
      <c r="D124" s="93"/>
      <c r="E124" s="93"/>
    </row>
    <row r="125" spans="1:5" ht="15.75">
      <c r="A125" s="92"/>
      <c r="B125" s="92"/>
      <c r="C125" s="93"/>
      <c r="D125" s="93"/>
      <c r="E125" s="93"/>
    </row>
    <row r="126" spans="1:5" ht="15.75">
      <c r="A126" s="92"/>
      <c r="B126" s="92"/>
      <c r="C126" s="93"/>
      <c r="D126" s="93"/>
      <c r="E126" s="93"/>
    </row>
    <row r="127" spans="1:5" ht="15.75">
      <c r="A127" s="92"/>
      <c r="B127" s="92"/>
      <c r="C127" s="93"/>
      <c r="D127" s="93"/>
      <c r="E127" s="93"/>
    </row>
    <row r="128" spans="1:5" ht="15.75">
      <c r="A128" s="92"/>
      <c r="B128" s="92"/>
      <c r="C128" s="93"/>
      <c r="D128" s="93"/>
      <c r="E128" s="93"/>
    </row>
    <row r="129" spans="1:5" ht="15.75">
      <c r="A129" s="92"/>
      <c r="B129" s="92"/>
      <c r="C129" s="93"/>
      <c r="D129" s="93"/>
      <c r="E129" s="93"/>
    </row>
    <row r="130" spans="1:5" ht="15.75">
      <c r="A130" s="92"/>
      <c r="B130" s="92"/>
      <c r="C130" s="93"/>
      <c r="D130" s="93"/>
      <c r="E130" s="93"/>
    </row>
    <row r="131" spans="1:5" ht="15.75">
      <c r="A131" s="92"/>
      <c r="B131" s="92"/>
      <c r="C131" s="93"/>
      <c r="D131" s="93"/>
      <c r="E131" s="93"/>
    </row>
    <row r="132" spans="1:5" ht="15.75">
      <c r="A132" s="92"/>
      <c r="B132" s="92"/>
      <c r="C132" s="93"/>
      <c r="D132" s="93"/>
      <c r="E132" s="93"/>
    </row>
    <row r="133" spans="1:5" ht="15.75">
      <c r="A133" s="92"/>
      <c r="B133" s="92"/>
      <c r="C133" s="93"/>
      <c r="D133" s="93"/>
      <c r="E133" s="93"/>
    </row>
    <row r="134" spans="1:5" ht="15.75">
      <c r="A134" s="92"/>
      <c r="B134" s="92"/>
      <c r="C134" s="93"/>
      <c r="D134" s="93"/>
      <c r="E134" s="93"/>
    </row>
    <row r="135" spans="1:5" ht="15.75">
      <c r="A135" s="92"/>
      <c r="B135" s="92"/>
      <c r="C135" s="93"/>
      <c r="D135" s="93"/>
      <c r="E135" s="93"/>
    </row>
    <row r="136" spans="1:5" ht="15.75">
      <c r="A136" s="92"/>
      <c r="B136" s="92"/>
      <c r="C136" s="93"/>
      <c r="D136" s="93"/>
      <c r="E136" s="93"/>
    </row>
    <row r="137" spans="1:5" ht="15.75">
      <c r="A137" s="92"/>
      <c r="B137" s="92"/>
      <c r="C137" s="93"/>
      <c r="D137" s="93"/>
      <c r="E137" s="93"/>
    </row>
    <row r="138" spans="1:5" ht="15.75">
      <c r="A138" s="92"/>
      <c r="B138" s="92"/>
      <c r="C138" s="93"/>
      <c r="D138" s="93"/>
      <c r="E138" s="93"/>
    </row>
    <row r="139" spans="1:5" ht="15.75">
      <c r="A139" s="92"/>
      <c r="B139" s="92"/>
      <c r="C139" s="93"/>
      <c r="D139" s="93"/>
      <c r="E139" s="93"/>
    </row>
    <row r="140" spans="1:5" ht="15.75">
      <c r="A140" s="92"/>
      <c r="B140" s="92"/>
      <c r="C140" s="93"/>
      <c r="D140" s="93"/>
      <c r="E140" s="93"/>
    </row>
    <row r="141" spans="1:5" ht="15.75">
      <c r="A141" s="92"/>
      <c r="B141" s="92"/>
      <c r="C141" s="93"/>
      <c r="D141" s="93"/>
      <c r="E141" s="93"/>
    </row>
    <row r="142" spans="1:5" ht="15.75">
      <c r="A142" s="92"/>
      <c r="B142" s="92"/>
      <c r="C142" s="93"/>
      <c r="D142" s="93"/>
      <c r="E142" s="93"/>
    </row>
    <row r="143" spans="1:5" ht="15.75">
      <c r="A143" s="92"/>
      <c r="B143" s="92"/>
      <c r="C143" s="93"/>
      <c r="D143" s="93"/>
      <c r="E143" s="93"/>
    </row>
    <row r="144" spans="1:5" ht="15.75">
      <c r="A144" s="92"/>
      <c r="B144" s="92"/>
      <c r="C144" s="93"/>
      <c r="D144" s="93"/>
      <c r="E144" s="93"/>
    </row>
    <row r="145" spans="1:5" ht="15.75">
      <c r="A145" s="92"/>
      <c r="B145" s="92"/>
      <c r="C145" s="93"/>
      <c r="D145" s="93"/>
      <c r="E145" s="93"/>
    </row>
    <row r="146" spans="1:5" ht="15.75">
      <c r="A146" s="92"/>
      <c r="B146" s="92"/>
      <c r="C146" s="93"/>
      <c r="D146" s="93"/>
      <c r="E146" s="93"/>
    </row>
    <row r="147" spans="1:4" ht="15.75">
      <c r="A147" s="92"/>
      <c r="B147" s="92"/>
      <c r="C147" s="93"/>
      <c r="D147" s="93"/>
    </row>
    <row r="148" spans="1:4" ht="15.75">
      <c r="A148" s="92"/>
      <c r="B148" s="92"/>
      <c r="C148" s="93"/>
      <c r="D148" s="93"/>
    </row>
    <row r="149" spans="1:4" ht="15.75">
      <c r="A149" s="92"/>
      <c r="B149" s="92"/>
      <c r="C149" s="93"/>
      <c r="D149" s="93"/>
    </row>
  </sheetData>
  <mergeCells count="3">
    <mergeCell ref="A2:E2"/>
    <mergeCell ref="A3:E3"/>
    <mergeCell ref="A1:E1"/>
  </mergeCells>
  <printOptions/>
  <pageMargins left="0.75" right="0.75" top="1" bottom="1" header="0.5" footer="0.5"/>
  <pageSetup horizontalDpi="300" verticalDpi="300" orientation="portrait" scale="80" r:id="rId1"/>
  <headerFooter alignWithMargins="0">
    <oddFooter>&amp;LZ:\Hicksp\Excel\&amp;F&amp;C&amp;A&amp;R&amp;D&amp;T</oddFooter>
  </headerFooter>
</worksheet>
</file>

<file path=xl/worksheets/sheet18.xml><?xml version="1.0" encoding="utf-8"?>
<worksheet xmlns="http://schemas.openxmlformats.org/spreadsheetml/2006/main" xmlns:r="http://schemas.openxmlformats.org/officeDocument/2006/relationships">
  <dimension ref="A1:Q100"/>
  <sheetViews>
    <sheetView workbookViewId="0" topLeftCell="A3">
      <selection activeCell="A6" sqref="A6"/>
    </sheetView>
  </sheetViews>
  <sheetFormatPr defaultColWidth="9.140625" defaultRowHeight="12.75"/>
  <cols>
    <col min="1" max="1" width="15.421875" style="8" customWidth="1"/>
    <col min="2" max="2" width="17.00390625" style="8" customWidth="1"/>
    <col min="3" max="3" width="16.00390625" style="8" customWidth="1"/>
    <col min="4" max="4" width="10.28125" style="211" customWidth="1"/>
    <col min="5" max="5" width="5.28125" style="8" customWidth="1"/>
    <col min="6" max="6" width="16.57421875" style="8" customWidth="1"/>
    <col min="7" max="7" width="14.57421875" style="8" customWidth="1"/>
    <col min="8" max="8" width="14.28125" style="53" customWidth="1"/>
    <col min="9" max="9" width="17.8515625" style="53" bestFit="1" customWidth="1"/>
    <col min="10" max="10" width="25.421875" style="7" customWidth="1"/>
    <col min="11" max="11" width="13.421875" style="142" customWidth="1"/>
    <col min="12" max="12" width="5.8515625" style="187" customWidth="1"/>
    <col min="13" max="13" width="14.8515625" style="187" customWidth="1"/>
    <col min="14" max="14" width="9.7109375" style="53" customWidth="1"/>
    <col min="15" max="15" width="11.57421875" style="223" bestFit="1" customWidth="1"/>
    <col min="16" max="16" width="11.57421875" style="53" bestFit="1" customWidth="1"/>
    <col min="17" max="16384" width="9.140625" style="53" customWidth="1"/>
  </cols>
  <sheetData>
    <row r="1" spans="1:15" s="50" customFormat="1" ht="22.5" customHeight="1">
      <c r="A1" s="922" t="s">
        <v>251</v>
      </c>
      <c r="B1" s="922"/>
      <c r="C1" s="922"/>
      <c r="D1" s="922"/>
      <c r="E1" s="922"/>
      <c r="F1" s="922"/>
      <c r="G1" s="922"/>
      <c r="H1" s="963" t="s">
        <v>407</v>
      </c>
      <c r="I1" s="964"/>
      <c r="J1" s="964"/>
      <c r="K1" s="964"/>
      <c r="L1" s="964"/>
      <c r="M1" s="965"/>
      <c r="O1" s="224"/>
    </row>
    <row r="2" spans="1:15" s="18" customFormat="1" ht="18.75">
      <c r="A2" s="968"/>
      <c r="B2" s="968"/>
      <c r="C2" s="968"/>
      <c r="D2" s="968"/>
      <c r="E2" s="968"/>
      <c r="F2" s="968"/>
      <c r="G2" s="968"/>
      <c r="H2" s="966" t="s">
        <v>408</v>
      </c>
      <c r="I2" s="962"/>
      <c r="J2" s="962"/>
      <c r="K2" s="962"/>
      <c r="L2" s="962"/>
      <c r="M2" s="967"/>
      <c r="O2" s="225"/>
    </row>
    <row r="3" spans="1:13" ht="12.75">
      <c r="A3" s="51"/>
      <c r="B3" s="52"/>
      <c r="C3" s="52"/>
      <c r="D3" s="205"/>
      <c r="E3" s="52"/>
      <c r="F3" s="52"/>
      <c r="G3" s="52"/>
      <c r="H3" s="66" t="s">
        <v>12</v>
      </c>
      <c r="I3" s="10" t="s">
        <v>454</v>
      </c>
      <c r="J3" s="10"/>
      <c r="K3" s="265"/>
      <c r="L3" s="179" t="s">
        <v>452</v>
      </c>
      <c r="M3" s="178" t="s">
        <v>456</v>
      </c>
    </row>
    <row r="4" spans="1:15" s="54" customFormat="1" ht="15.75">
      <c r="A4" s="962" t="s">
        <v>188</v>
      </c>
      <c r="B4" s="962"/>
      <c r="C4" s="962"/>
      <c r="D4" s="962"/>
      <c r="E4" s="962"/>
      <c r="F4" s="962"/>
      <c r="G4" s="962"/>
      <c r="H4" s="66" t="s">
        <v>409</v>
      </c>
      <c r="I4" s="67"/>
      <c r="J4" s="67"/>
      <c r="K4" s="266"/>
      <c r="L4" s="179"/>
      <c r="M4" s="180"/>
      <c r="O4" s="226"/>
    </row>
    <row r="5" spans="1:16" s="54" customFormat="1" ht="15.75">
      <c r="A5" s="962" t="s">
        <v>9</v>
      </c>
      <c r="B5" s="962"/>
      <c r="C5" s="962"/>
      <c r="D5" s="962"/>
      <c r="E5" s="962"/>
      <c r="F5" s="962"/>
      <c r="G5" s="962"/>
      <c r="H5" s="66" t="s">
        <v>410</v>
      </c>
      <c r="I5" s="67" t="s">
        <v>411</v>
      </c>
      <c r="J5" s="67" t="s">
        <v>412</v>
      </c>
      <c r="K5" s="266" t="s">
        <v>413</v>
      </c>
      <c r="L5" s="177"/>
      <c r="M5" s="180" t="s">
        <v>414</v>
      </c>
      <c r="O5" s="226"/>
      <c r="P5" s="226"/>
    </row>
    <row r="6" spans="1:16" ht="12.75">
      <c r="A6" s="55"/>
      <c r="B6" s="55"/>
      <c r="C6" s="55"/>
      <c r="D6" s="206"/>
      <c r="E6" s="55"/>
      <c r="F6" s="55"/>
      <c r="G6" s="55"/>
      <c r="H6" s="68"/>
      <c r="I6" s="69"/>
      <c r="J6" s="69"/>
      <c r="K6" s="267"/>
      <c r="L6" s="181"/>
      <c r="M6" s="182"/>
      <c r="O6" s="69"/>
      <c r="P6" s="69"/>
    </row>
    <row r="7" spans="1:16" ht="38.25">
      <c r="A7" s="56"/>
      <c r="B7" s="57" t="s">
        <v>439</v>
      </c>
      <c r="C7" s="57" t="s">
        <v>440</v>
      </c>
      <c r="D7" s="207" t="s">
        <v>441</v>
      </c>
      <c r="E7" s="57"/>
      <c r="F7" s="57" t="s">
        <v>199</v>
      </c>
      <c r="G7" s="57" t="s">
        <v>442</v>
      </c>
      <c r="H7" s="70">
        <v>37621</v>
      </c>
      <c r="I7" s="10" t="s">
        <v>447</v>
      </c>
      <c r="J7" s="10" t="s">
        <v>219</v>
      </c>
      <c r="K7" s="265">
        <f>+F23</f>
        <v>2206.52</v>
      </c>
      <c r="L7" s="181"/>
      <c r="M7" s="178"/>
      <c r="P7" s="223"/>
    </row>
    <row r="8" spans="1:13" ht="12.75" hidden="1">
      <c r="A8" s="10"/>
      <c r="B8" s="10"/>
      <c r="C8" s="10"/>
      <c r="D8" s="208"/>
      <c r="E8" s="58"/>
      <c r="F8" s="58"/>
      <c r="G8" s="58"/>
      <c r="H8" s="65"/>
      <c r="I8" s="10" t="s">
        <v>227</v>
      </c>
      <c r="J8" s="10" t="s">
        <v>219</v>
      </c>
      <c r="K8" s="265">
        <f>+F29</f>
        <v>55.86</v>
      </c>
      <c r="L8" s="181"/>
      <c r="M8" s="178"/>
    </row>
    <row r="9" spans="1:16" ht="12.75" hidden="1">
      <c r="A9" s="10"/>
      <c r="B9" s="64"/>
      <c r="C9" s="64"/>
      <c r="D9" s="208"/>
      <c r="E9" s="58"/>
      <c r="F9" s="58"/>
      <c r="G9" s="58"/>
      <c r="H9" s="65"/>
      <c r="I9" s="10" t="s">
        <v>221</v>
      </c>
      <c r="J9" s="10" t="s">
        <v>219</v>
      </c>
      <c r="K9" s="265">
        <f>+F35</f>
        <v>51079.75</v>
      </c>
      <c r="L9" s="181"/>
      <c r="M9" s="178"/>
      <c r="P9" s="223"/>
    </row>
    <row r="10" spans="1:13" ht="12.75" hidden="1">
      <c r="A10" s="59"/>
      <c r="B10" s="63"/>
      <c r="C10" s="63"/>
      <c r="D10" s="219"/>
      <c r="E10" s="60"/>
      <c r="F10" s="60"/>
      <c r="G10" s="60"/>
      <c r="H10" s="65"/>
      <c r="I10" s="10" t="s">
        <v>0</v>
      </c>
      <c r="J10" s="10" t="s">
        <v>219</v>
      </c>
      <c r="K10" s="265">
        <f>+F41</f>
        <v>60568.8</v>
      </c>
      <c r="L10" s="181"/>
      <c r="M10" s="178"/>
    </row>
    <row r="11" spans="1:16" ht="12.75" hidden="1">
      <c r="A11" s="10"/>
      <c r="B11" s="212"/>
      <c r="C11" s="271"/>
      <c r="D11" s="208"/>
      <c r="E11" s="204"/>
      <c r="F11" s="282"/>
      <c r="G11" s="212"/>
      <c r="H11" s="65"/>
      <c r="I11" s="10" t="s">
        <v>228</v>
      </c>
      <c r="J11" s="10" t="s">
        <v>220</v>
      </c>
      <c r="K11" s="265">
        <f>+F30</f>
        <v>0</v>
      </c>
      <c r="L11" s="181"/>
      <c r="M11" s="178"/>
      <c r="P11" s="223"/>
    </row>
    <row r="12" spans="1:16" ht="12.75" hidden="1">
      <c r="A12" s="10"/>
      <c r="B12" s="212"/>
      <c r="C12" s="271"/>
      <c r="D12" s="208"/>
      <c r="E12" s="204"/>
      <c r="F12" s="284"/>
      <c r="G12" s="212"/>
      <c r="H12" s="65"/>
      <c r="I12" s="10" t="s">
        <v>29</v>
      </c>
      <c r="J12" s="10" t="s">
        <v>220</v>
      </c>
      <c r="K12" s="265">
        <f>+F36</f>
        <v>2606.21</v>
      </c>
      <c r="L12" s="181"/>
      <c r="M12" s="178"/>
      <c r="P12" s="223"/>
    </row>
    <row r="13" spans="1:13" ht="12.75" hidden="1">
      <c r="A13" s="10"/>
      <c r="B13" s="212"/>
      <c r="C13" s="272"/>
      <c r="D13" s="208"/>
      <c r="E13" s="204"/>
      <c r="F13" s="284"/>
      <c r="G13" s="212"/>
      <c r="H13" s="65"/>
      <c r="I13" s="10" t="s">
        <v>1</v>
      </c>
      <c r="J13" s="10" t="s">
        <v>220</v>
      </c>
      <c r="K13" s="265">
        <f>+F42</f>
        <v>23392.86</v>
      </c>
      <c r="L13" s="181"/>
      <c r="M13" s="178"/>
    </row>
    <row r="14" spans="2:16" ht="12.75" hidden="1">
      <c r="B14" s="174"/>
      <c r="C14" s="273"/>
      <c r="D14" s="208"/>
      <c r="E14" s="214"/>
      <c r="F14" s="283"/>
      <c r="G14" s="214"/>
      <c r="H14" s="65"/>
      <c r="I14" s="10" t="s">
        <v>222</v>
      </c>
      <c r="J14" s="10" t="s">
        <v>195</v>
      </c>
      <c r="K14" s="265">
        <f>+F37</f>
        <v>0</v>
      </c>
      <c r="L14" s="234"/>
      <c r="M14" s="235"/>
      <c r="P14" s="223"/>
    </row>
    <row r="15" spans="2:13" ht="12.75">
      <c r="B15" s="175"/>
      <c r="C15" s="274"/>
      <c r="D15" s="219"/>
      <c r="E15" s="204"/>
      <c r="F15" s="277"/>
      <c r="G15" s="204"/>
      <c r="H15" s="65"/>
      <c r="I15" s="10"/>
      <c r="J15" s="10"/>
      <c r="K15" s="265"/>
      <c r="L15" s="181"/>
      <c r="M15" s="178"/>
    </row>
    <row r="16" spans="1:13" ht="12.75">
      <c r="A16" s="59" t="s">
        <v>237</v>
      </c>
      <c r="B16" s="175"/>
      <c r="C16" s="175"/>
      <c r="D16" s="219"/>
      <c r="E16" s="204"/>
      <c r="F16" s="277"/>
      <c r="G16" s="204"/>
      <c r="H16" s="65"/>
      <c r="I16" s="10"/>
      <c r="J16" s="10"/>
      <c r="K16" s="265"/>
      <c r="L16" s="181"/>
      <c r="M16" s="178"/>
    </row>
    <row r="17" spans="1:13" ht="12.75">
      <c r="A17" s="10" t="s">
        <v>443</v>
      </c>
      <c r="B17" s="212">
        <f>+'[1]TB3-31-04 (Pre)'!G469</f>
        <v>0</v>
      </c>
      <c r="C17" s="212">
        <f>SUM('[1]TB03-31-04(Final)'!F361:F364)</f>
        <v>0</v>
      </c>
      <c r="D17" s="760" t="e">
        <f>C17/C20</f>
        <v>#DIV/0!</v>
      </c>
      <c r="E17" s="204"/>
      <c r="F17" s="275" t="e">
        <f>SUM('[1]TB03-31-04(Final)'!F523:F524)</f>
        <v>#REF!</v>
      </c>
      <c r="G17" s="212" t="e">
        <f>+B17+F17</f>
        <v>#REF!</v>
      </c>
      <c r="H17" s="237" t="s">
        <v>10</v>
      </c>
      <c r="I17" s="10" t="s">
        <v>449</v>
      </c>
      <c r="J17" s="10" t="s">
        <v>450</v>
      </c>
      <c r="K17" s="265"/>
      <c r="L17" s="177"/>
      <c r="M17" s="178">
        <f>SUM(K7:K17)+0.01</f>
        <v>139910.01</v>
      </c>
    </row>
    <row r="18" spans="1:16" ht="12.75">
      <c r="A18" s="10" t="s">
        <v>444</v>
      </c>
      <c r="B18" s="212" t="e">
        <f>+'[1]TB03-31-04(Final)'!F469+'[1]TB03-31-04(Final)'!F470</f>
        <v>#REF!</v>
      </c>
      <c r="C18" s="212">
        <f>SUM('[1]TB03-31-04(Final)'!F370:F372)</f>
        <v>0</v>
      </c>
      <c r="D18" s="760" t="e">
        <f>C18/C20</f>
        <v>#DIV/0!</v>
      </c>
      <c r="E18" s="204"/>
      <c r="F18" s="275" t="e">
        <f>SUM('[1]TB03-31-04(Final)'!F530:F531)</f>
        <v>#REF!</v>
      </c>
      <c r="G18" s="212" t="e">
        <f>+B18+F18</f>
        <v>#REF!</v>
      </c>
      <c r="H18" s="237" t="s">
        <v>11</v>
      </c>
      <c r="I18" s="10"/>
      <c r="J18" s="10"/>
      <c r="K18" s="265"/>
      <c r="L18" s="177"/>
      <c r="M18" s="178"/>
      <c r="P18" s="223"/>
    </row>
    <row r="19" spans="1:13" ht="12.75">
      <c r="A19" s="10" t="s">
        <v>390</v>
      </c>
      <c r="B19" s="212">
        <v>0</v>
      </c>
      <c r="C19" s="213">
        <v>0</v>
      </c>
      <c r="D19" s="760" t="e">
        <f>C19/C20</f>
        <v>#DIV/0!</v>
      </c>
      <c r="E19" s="204"/>
      <c r="F19" s="275">
        <v>0</v>
      </c>
      <c r="G19" s="212">
        <v>0</v>
      </c>
      <c r="H19" s="65"/>
      <c r="I19" s="10"/>
      <c r="J19" s="10"/>
      <c r="K19" s="265"/>
      <c r="L19" s="177"/>
      <c r="M19" s="178"/>
    </row>
    <row r="20" spans="1:17" ht="13.5" thickBot="1">
      <c r="A20" s="8" t="s">
        <v>403</v>
      </c>
      <c r="B20" s="174" t="e">
        <f>SUM(B17:B19)</f>
        <v>#REF!</v>
      </c>
      <c r="C20" s="174">
        <f>SUM(C17:C19)</f>
        <v>0</v>
      </c>
      <c r="D20" s="758">
        <f>C20/$C$49</f>
        <v>0</v>
      </c>
      <c r="E20" s="214"/>
      <c r="F20" s="276" t="e">
        <f>SUM(F17:F19)</f>
        <v>#REF!</v>
      </c>
      <c r="G20" s="214" t="e">
        <f>SUM(G17:G19)</f>
        <v>#REF!</v>
      </c>
      <c r="H20" s="66" t="s">
        <v>415</v>
      </c>
      <c r="I20" s="10"/>
      <c r="J20" s="10"/>
      <c r="K20" s="280">
        <f>SUM(K7:K14)+0.01</f>
        <v>139910.01</v>
      </c>
      <c r="L20" s="183"/>
      <c r="M20" s="184">
        <f>SUM(M7:M19)</f>
        <v>139910.01</v>
      </c>
      <c r="N20" s="236"/>
      <c r="O20" s="233"/>
      <c r="P20" s="236"/>
      <c r="Q20" s="236">
        <f>SUM(P7:P18)</f>
        <v>0</v>
      </c>
    </row>
    <row r="21" spans="2:13" ht="13.5" thickTop="1">
      <c r="B21" s="175"/>
      <c r="C21" s="175"/>
      <c r="D21" s="761"/>
      <c r="E21" s="204"/>
      <c r="F21" s="277"/>
      <c r="G21" s="204"/>
      <c r="H21" s="65"/>
      <c r="I21" s="10"/>
      <c r="J21" s="10"/>
      <c r="K21" s="265"/>
      <c r="L21" s="177"/>
      <c r="M21" s="279">
        <f>+F53</f>
        <v>495387.39</v>
      </c>
    </row>
    <row r="22" spans="1:13" ht="12.75">
      <c r="A22" s="59">
        <v>2000</v>
      </c>
      <c r="B22" s="175"/>
      <c r="C22" s="175"/>
      <c r="D22" s="761"/>
      <c r="E22" s="204"/>
      <c r="F22" s="277"/>
      <c r="G22" s="204"/>
      <c r="H22" s="65"/>
      <c r="I22" s="10"/>
      <c r="J22" s="10"/>
      <c r="K22" s="265"/>
      <c r="L22" s="177"/>
      <c r="M22" s="178"/>
    </row>
    <row r="23" spans="1:15" ht="12.75">
      <c r="A23" s="10" t="s">
        <v>443</v>
      </c>
      <c r="B23" s="175">
        <f>+'[1]TB3-31-04 (Pre)'!F470</f>
        <v>980.5</v>
      </c>
      <c r="C23" s="212">
        <f>+'[1]TB3-31-04 (Pre)'!F362</f>
        <v>59250</v>
      </c>
      <c r="D23" s="758">
        <f>C23/C26</f>
        <v>1</v>
      </c>
      <c r="E23" s="204"/>
      <c r="F23" s="275">
        <f>+'[1]TB3-31-04 (Pre)'!F517</f>
        <v>2206.52</v>
      </c>
      <c r="G23" s="212">
        <f>B23+F23</f>
        <v>3187.02</v>
      </c>
      <c r="H23" s="66" t="s">
        <v>416</v>
      </c>
      <c r="I23" s="67" t="s">
        <v>196</v>
      </c>
      <c r="J23" s="67"/>
      <c r="K23" s="265"/>
      <c r="L23" s="177"/>
      <c r="M23" s="178" t="s">
        <v>261</v>
      </c>
      <c r="O23" s="53"/>
    </row>
    <row r="24" spans="1:16" ht="12.75">
      <c r="A24" s="10" t="s">
        <v>444</v>
      </c>
      <c r="B24" s="212">
        <f>+'[1]TB03-31-04(Final)'!F471</f>
        <v>0</v>
      </c>
      <c r="C24" s="212">
        <f>+'[1]TB3-31-04 (Pre)'!F370</f>
        <v>0</v>
      </c>
      <c r="D24" s="758">
        <f>C24/C26</f>
        <v>0</v>
      </c>
      <c r="E24" s="204"/>
      <c r="F24" s="275">
        <f>+'[1]TB03-31-04(Final)'!F532</f>
        <v>0</v>
      </c>
      <c r="G24" s="212">
        <f>B24+F24</f>
        <v>0</v>
      </c>
      <c r="H24" s="66" t="s">
        <v>453</v>
      </c>
      <c r="I24" s="67" t="s">
        <v>455</v>
      </c>
      <c r="J24" s="67"/>
      <c r="K24" s="265"/>
      <c r="L24" s="177"/>
      <c r="M24" s="178"/>
      <c r="O24" s="228"/>
      <c r="P24" s="229"/>
    </row>
    <row r="25" spans="1:16" ht="12.75">
      <c r="A25" s="10" t="s">
        <v>390</v>
      </c>
      <c r="B25" s="212">
        <f>+'[1]TB03-31-04(Final)'!D486</f>
        <v>-374.81</v>
      </c>
      <c r="C25" s="212">
        <v>0</v>
      </c>
      <c r="D25" s="758">
        <f>C25/C26</f>
        <v>0</v>
      </c>
      <c r="E25" s="204"/>
      <c r="F25" s="275">
        <v>0</v>
      </c>
      <c r="G25" s="212">
        <f>F25+B25</f>
        <v>-374.81</v>
      </c>
      <c r="H25" s="65"/>
      <c r="I25" s="71"/>
      <c r="J25" s="10"/>
      <c r="K25" s="265"/>
      <c r="L25" s="177"/>
      <c r="M25" s="178"/>
      <c r="O25" s="228"/>
      <c r="P25" s="229"/>
    </row>
    <row r="26" spans="1:15" ht="13.5" thickBot="1">
      <c r="A26" s="8" t="s">
        <v>403</v>
      </c>
      <c r="B26" s="174">
        <f>SUM(B23:B25)</f>
        <v>605.69</v>
      </c>
      <c r="C26" s="174">
        <f>SUM(C23:C25)</f>
        <v>59250</v>
      </c>
      <c r="D26" s="758">
        <f>C26/$C$49</f>
        <v>0.015765811858006993</v>
      </c>
      <c r="E26" s="214"/>
      <c r="F26" s="276">
        <f>SUM(F23:F25)</f>
        <v>2206.52</v>
      </c>
      <c r="G26" s="214">
        <f>SUM(G23:G25)</f>
        <v>2812.21</v>
      </c>
      <c r="H26" s="66" t="s">
        <v>417</v>
      </c>
      <c r="I26" s="72"/>
      <c r="J26" s="72"/>
      <c r="K26" s="265"/>
      <c r="L26" s="177"/>
      <c r="M26" s="178"/>
      <c r="O26" s="53"/>
    </row>
    <row r="27" spans="2:13" ht="12.75">
      <c r="B27" s="175"/>
      <c r="C27" s="175"/>
      <c r="D27" s="761"/>
      <c r="E27" s="204"/>
      <c r="F27" s="277"/>
      <c r="G27" s="204"/>
      <c r="H27" s="66"/>
      <c r="I27" s="67" t="s">
        <v>192</v>
      </c>
      <c r="J27" s="67"/>
      <c r="K27" s="265"/>
      <c r="L27" s="177"/>
      <c r="M27" s="178"/>
    </row>
    <row r="28" spans="1:13" ht="12.75">
      <c r="A28" s="59">
        <v>2001</v>
      </c>
      <c r="B28" s="175"/>
      <c r="C28" s="175"/>
      <c r="D28" s="761"/>
      <c r="E28" s="204"/>
      <c r="F28" s="277"/>
      <c r="G28" s="204"/>
      <c r="H28" s="66"/>
      <c r="I28" s="67"/>
      <c r="J28" s="67"/>
      <c r="K28" s="265"/>
      <c r="L28" s="177"/>
      <c r="M28" s="178"/>
    </row>
    <row r="29" spans="1:13" ht="13.5" thickBot="1">
      <c r="A29" s="10" t="s">
        <v>443</v>
      </c>
      <c r="B29" s="175">
        <f>+'[1]TB3-31-04 (Pre)'!F471</f>
        <v>728.14</v>
      </c>
      <c r="C29" s="212">
        <f>+'[1]TB3-31-04 (Pre)'!F363</f>
        <v>1500</v>
      </c>
      <c r="D29" s="758">
        <f>C29/C32</f>
        <v>1</v>
      </c>
      <c r="E29" s="204"/>
      <c r="F29" s="275">
        <f>+'[1]TB3-31-04 (Pre)'!F518</f>
        <v>55.86</v>
      </c>
      <c r="G29" s="212">
        <f>B29+F29</f>
        <v>784</v>
      </c>
      <c r="H29" s="66" t="s">
        <v>62</v>
      </c>
      <c r="I29" s="72"/>
      <c r="J29" s="72"/>
      <c r="K29" s="266" t="s">
        <v>410</v>
      </c>
      <c r="L29" s="179"/>
      <c r="M29" s="178"/>
    </row>
    <row r="30" spans="1:13" ht="12.75">
      <c r="A30" s="10" t="s">
        <v>444</v>
      </c>
      <c r="B30" s="212">
        <f>+'[1]TB3-31-04 (Pre)'!F478</f>
        <v>254</v>
      </c>
      <c r="C30" s="212">
        <f>+'[1]TB3-31-04 (Pre)'!F371</f>
        <v>0</v>
      </c>
      <c r="D30" s="758">
        <f>C30/C32</f>
        <v>0</v>
      </c>
      <c r="E30" s="204"/>
      <c r="F30" s="275">
        <f>+'[1]TB3-31-04 (Pre)'!F525</f>
        <v>0</v>
      </c>
      <c r="G30" s="212">
        <f>B30+F30</f>
        <v>254</v>
      </c>
      <c r="H30" s="66"/>
      <c r="I30" s="67" t="s">
        <v>451</v>
      </c>
      <c r="J30" s="67"/>
      <c r="K30" s="266"/>
      <c r="L30" s="179"/>
      <c r="M30" s="178"/>
    </row>
    <row r="31" spans="1:13" ht="12.75">
      <c r="A31" s="10" t="s">
        <v>390</v>
      </c>
      <c r="B31" s="213">
        <v>0</v>
      </c>
      <c r="C31" s="213">
        <v>0</v>
      </c>
      <c r="D31" s="758">
        <f>C31/C32</f>
        <v>0</v>
      </c>
      <c r="E31" s="204"/>
      <c r="F31" s="275">
        <f>+'[1]TB03-31-04(Final)'!F548</f>
        <v>1047.62</v>
      </c>
      <c r="G31" s="212">
        <f>F31+B31</f>
        <v>1047.62</v>
      </c>
      <c r="H31" s="66"/>
      <c r="I31" s="67"/>
      <c r="J31" s="67"/>
      <c r="K31" s="266"/>
      <c r="L31" s="179"/>
      <c r="M31" s="178"/>
    </row>
    <row r="32" spans="1:13" ht="13.5" thickBot="1">
      <c r="A32" s="8" t="s">
        <v>403</v>
      </c>
      <c r="B32" s="174">
        <f>SUM(B29:B31)</f>
        <v>982.14</v>
      </c>
      <c r="C32" s="174">
        <f>SUM(C29:C31)</f>
        <v>1500</v>
      </c>
      <c r="D32" s="758">
        <f>C32/$C$49</f>
        <v>0.00039913447741789855</v>
      </c>
      <c r="E32" s="214"/>
      <c r="F32" s="276">
        <f>SUM(F29:F31)</f>
        <v>1103.4799999999998</v>
      </c>
      <c r="G32" s="214">
        <f>SUM(G29:G31)</f>
        <v>2085.62</v>
      </c>
      <c r="H32" s="66" t="s">
        <v>418</v>
      </c>
      <c r="I32" s="72"/>
      <c r="J32" s="72"/>
      <c r="K32" s="266"/>
      <c r="L32" s="179"/>
      <c r="M32" s="178"/>
    </row>
    <row r="33" spans="2:13" ht="12.75">
      <c r="B33" s="175"/>
      <c r="C33" s="175"/>
      <c r="D33" s="761"/>
      <c r="E33" s="204"/>
      <c r="F33" s="277"/>
      <c r="G33" s="204"/>
      <c r="H33" s="66"/>
      <c r="I33" s="67" t="s">
        <v>419</v>
      </c>
      <c r="J33" s="67"/>
      <c r="K33" s="266"/>
      <c r="L33" s="179"/>
      <c r="M33" s="178"/>
    </row>
    <row r="34" spans="1:13" ht="12.75">
      <c r="A34" s="59">
        <v>2002</v>
      </c>
      <c r="B34" s="175"/>
      <c r="C34" s="175"/>
      <c r="D34" s="761"/>
      <c r="E34" s="204"/>
      <c r="F34" s="277"/>
      <c r="G34" s="204"/>
      <c r="H34" s="66"/>
      <c r="I34" s="67"/>
      <c r="J34" s="67"/>
      <c r="K34" s="266"/>
      <c r="L34" s="179" t="s">
        <v>421</v>
      </c>
      <c r="M34" s="178"/>
    </row>
    <row r="35" spans="1:13" ht="13.5" thickBot="1">
      <c r="A35" s="10" t="s">
        <v>443</v>
      </c>
      <c r="B35" s="175">
        <f>+'[1]TB3-31-04 (Pre)'!F472</f>
        <v>40871.79</v>
      </c>
      <c r="C35" s="212">
        <f>+'[1]TB3-31-04 (Pre)'!F364</f>
        <v>1371608.06</v>
      </c>
      <c r="D35" s="758">
        <f>C35/C38</f>
        <v>0.9514546164884548</v>
      </c>
      <c r="E35" s="215"/>
      <c r="F35" s="275">
        <f>+'[1]TB3-31-04 (Pre)'!F519</f>
        <v>51079.75</v>
      </c>
      <c r="G35" s="212">
        <f>B35+F35</f>
        <v>91951.54000000001</v>
      </c>
      <c r="H35" s="66" t="s">
        <v>420</v>
      </c>
      <c r="I35" s="72"/>
      <c r="J35" s="72"/>
      <c r="K35" s="266"/>
      <c r="L35" s="179"/>
      <c r="M35" s="178"/>
    </row>
    <row r="36" spans="1:13" ht="13.5" thickBot="1">
      <c r="A36" s="10" t="s">
        <v>444</v>
      </c>
      <c r="B36" s="212">
        <f>+'[1]TB3-31-04 (Pre)'!F479</f>
        <v>36651.02</v>
      </c>
      <c r="C36" s="212">
        <f>+'[1]TB3-31-04 (Pre)'!F372</f>
        <v>69982.57</v>
      </c>
      <c r="D36" s="758">
        <f>C36/C38</f>
        <v>0.04854538351154516</v>
      </c>
      <c r="E36" s="215"/>
      <c r="F36" s="275">
        <f>+'[1]TB3-31-04 (Pre)'!F526</f>
        <v>2606.21</v>
      </c>
      <c r="G36" s="212">
        <f>B36+F36</f>
        <v>39257.229999999996</v>
      </c>
      <c r="H36" s="73"/>
      <c r="I36" s="72" t="s">
        <v>230</v>
      </c>
      <c r="J36" s="72"/>
      <c r="K36" s="268"/>
      <c r="L36" s="185"/>
      <c r="M36" s="186"/>
    </row>
    <row r="37" spans="1:10" ht="12.75">
      <c r="A37" s="10" t="s">
        <v>390</v>
      </c>
      <c r="B37" s="213">
        <f>+'[1]TB03-31-04(Final)'!F479</f>
        <v>0</v>
      </c>
      <c r="C37" s="213">
        <f>+'[1]TB3-31-04 (Pre)'!F379</f>
        <v>0</v>
      </c>
      <c r="D37" s="758">
        <f>C37/C38</f>
        <v>0</v>
      </c>
      <c r="E37" s="215"/>
      <c r="F37" s="275">
        <f>+'[1]TB03-31-04(Final)'!F540</f>
        <v>0</v>
      </c>
      <c r="G37" s="212">
        <f>F37+B37</f>
        <v>0</v>
      </c>
      <c r="H37" s="8"/>
      <c r="I37" s="8"/>
      <c r="J37" s="8"/>
    </row>
    <row r="38" spans="1:10" ht="12.75">
      <c r="A38" s="8" t="s">
        <v>403</v>
      </c>
      <c r="B38" s="174">
        <f>SUM(B35:B37)</f>
        <v>77522.81</v>
      </c>
      <c r="C38" s="174">
        <f>SUM(C35:C37)</f>
        <v>1441590.6300000001</v>
      </c>
      <c r="D38" s="758">
        <f>C38/$C$49</f>
        <v>0.38359234850372614</v>
      </c>
      <c r="E38" s="216"/>
      <c r="F38" s="276">
        <f>SUM(F35:F37)</f>
        <v>53685.96</v>
      </c>
      <c r="G38" s="214">
        <f>SUM(G35:G37)</f>
        <v>131208.77000000002</v>
      </c>
      <c r="H38" s="8"/>
      <c r="I38" s="8"/>
      <c r="J38" s="8"/>
    </row>
    <row r="39" spans="2:10" ht="12.75">
      <c r="B39" s="173"/>
      <c r="C39" s="173"/>
      <c r="D39" s="758"/>
      <c r="E39" s="296"/>
      <c r="F39" s="275"/>
      <c r="G39" s="212"/>
      <c r="H39" s="8"/>
      <c r="I39" s="8"/>
      <c r="J39" s="8"/>
    </row>
    <row r="40" spans="1:15" s="136" customFormat="1" ht="12.75">
      <c r="A40" s="59">
        <v>2003</v>
      </c>
      <c r="B40" s="175"/>
      <c r="C40" s="175"/>
      <c r="D40" s="761"/>
      <c r="E40" s="204"/>
      <c r="F40" s="277"/>
      <c r="G40" s="204"/>
      <c r="H40" s="8"/>
      <c r="I40" s="8"/>
      <c r="J40" s="8"/>
      <c r="K40" s="142"/>
      <c r="L40" s="187"/>
      <c r="M40" s="187"/>
      <c r="O40" s="227"/>
    </row>
    <row r="41" spans="1:15" s="136" customFormat="1" ht="12.75">
      <c r="A41" s="10" t="s">
        <v>443</v>
      </c>
      <c r="B41" s="175">
        <f>+'[1]TB3-31-04 (Pre)'!F473</f>
        <v>87858.67</v>
      </c>
      <c r="C41" s="212">
        <f>+'[1]TB3-31-04 (Pre)'!F365</f>
        <v>1626410.46</v>
      </c>
      <c r="D41" s="758">
        <f>C41/C44</f>
        <v>0.7209933397914958</v>
      </c>
      <c r="E41" s="215"/>
      <c r="F41" s="275">
        <f>+'[1]TB3-31-04 (Pre)'!F520</f>
        <v>60568.8</v>
      </c>
      <c r="G41" s="212">
        <f>B41+F41</f>
        <v>148427.47</v>
      </c>
      <c r="H41" s="94"/>
      <c r="I41" s="94"/>
      <c r="J41" s="94"/>
      <c r="K41" s="281"/>
      <c r="L41" s="188"/>
      <c r="M41" s="188"/>
      <c r="O41" s="227"/>
    </row>
    <row r="42" spans="1:15" s="136" customFormat="1" ht="12.75">
      <c r="A42" s="10" t="s">
        <v>444</v>
      </c>
      <c r="B42" s="212">
        <f>+'[1]TB3-31-04 (Pre)'!F480</f>
        <v>122270.13</v>
      </c>
      <c r="C42" s="212">
        <f>+'[1]TB3-31-04 (Pre)'!F373</f>
        <v>628151.78</v>
      </c>
      <c r="D42" s="758">
        <f>C42/C44</f>
        <v>0.2784618402897956</v>
      </c>
      <c r="E42" s="215"/>
      <c r="F42" s="275">
        <f>+'[1]TB3-31-04 (Pre)'!F527</f>
        <v>23392.86</v>
      </c>
      <c r="G42" s="212">
        <f>B42+F42</f>
        <v>145662.99</v>
      </c>
      <c r="H42" s="94"/>
      <c r="I42" s="94"/>
      <c r="J42" s="94"/>
      <c r="K42" s="281"/>
      <c r="L42" s="188"/>
      <c r="M42" s="188"/>
      <c r="O42" s="227"/>
    </row>
    <row r="43" spans="1:15" s="136" customFormat="1" ht="12.75">
      <c r="A43" s="10" t="s">
        <v>390</v>
      </c>
      <c r="B43" s="213">
        <v>0</v>
      </c>
      <c r="C43" s="213">
        <f>+'[1]TB3-31-04 (Pre)'!F380</f>
        <v>1229</v>
      </c>
      <c r="D43" s="758">
        <f>C43/C44</f>
        <v>0.000544819918708435</v>
      </c>
      <c r="E43" s="215"/>
      <c r="F43" s="275">
        <f>+'[1]TB3-31-04 (Pre)'!F533</f>
        <v>45.77</v>
      </c>
      <c r="G43" s="212">
        <f>F43+B43</f>
        <v>45.77</v>
      </c>
      <c r="H43" s="94"/>
      <c r="I43" s="94"/>
      <c r="J43" s="94"/>
      <c r="K43" s="281"/>
      <c r="L43" s="188"/>
      <c r="M43" s="188"/>
      <c r="O43" s="227"/>
    </row>
    <row r="44" spans="1:13" ht="12.75">
      <c r="A44" s="8" t="s">
        <v>403</v>
      </c>
      <c r="B44" s="174">
        <f>SUM(B41:B43)</f>
        <v>210128.8</v>
      </c>
      <c r="C44" s="174">
        <f>SUM(C41:C43)</f>
        <v>2255791.24</v>
      </c>
      <c r="D44" s="758">
        <f>C44/$C$49</f>
        <v>0.600242705160849</v>
      </c>
      <c r="E44" s="216"/>
      <c r="F44" s="276">
        <f>SUM(F41:F43)</f>
        <v>84007.43000000001</v>
      </c>
      <c r="G44" s="214">
        <f>SUM(G41:G43)</f>
        <v>294136.23</v>
      </c>
      <c r="H44" s="94"/>
      <c r="I44" s="94"/>
      <c r="J44" s="94"/>
      <c r="K44" s="281"/>
      <c r="L44" s="188"/>
      <c r="M44" s="188"/>
    </row>
    <row r="45" spans="1:10" ht="12.75">
      <c r="A45" s="61" t="s">
        <v>445</v>
      </c>
      <c r="B45" s="175"/>
      <c r="C45" s="175"/>
      <c r="D45" s="761"/>
      <c r="E45" s="204"/>
      <c r="F45" s="277"/>
      <c r="G45" s="204"/>
      <c r="H45" s="8"/>
      <c r="I45" s="8"/>
      <c r="J45" s="8"/>
    </row>
    <row r="46" spans="1:7" ht="12.75">
      <c r="A46" s="67" t="s">
        <v>443</v>
      </c>
      <c r="B46" s="217">
        <f aca="true" t="shared" si="0" ref="B46:C48">+B11+B17+B23+B29+B35+B41</f>
        <v>130439.1</v>
      </c>
      <c r="C46" s="217">
        <f t="shared" si="0"/>
        <v>3058768.52</v>
      </c>
      <c r="D46" s="759">
        <f>C46/C49</f>
        <v>0.813906649848346</v>
      </c>
      <c r="E46" s="217"/>
      <c r="F46" s="298" t="e">
        <f>+F17+F23+F29+F35+F41</f>
        <v>#REF!</v>
      </c>
      <c r="G46" s="217" t="e">
        <f>B46+F46</f>
        <v>#REF!</v>
      </c>
    </row>
    <row r="47" spans="1:7" ht="12.75">
      <c r="A47" s="67" t="s">
        <v>444</v>
      </c>
      <c r="B47" s="217" t="e">
        <f t="shared" si="0"/>
        <v>#REF!</v>
      </c>
      <c r="C47" s="217">
        <f t="shared" si="0"/>
        <v>698134.3500000001</v>
      </c>
      <c r="D47" s="759">
        <f>C47/C49</f>
        <v>0.1857663259698229</v>
      </c>
      <c r="E47" s="217"/>
      <c r="F47" s="278" t="e">
        <f>+F18+F24+F30+F36+F42</f>
        <v>#REF!</v>
      </c>
      <c r="G47" s="217" t="e">
        <f>B47+F47</f>
        <v>#REF!</v>
      </c>
    </row>
    <row r="48" spans="1:7" ht="12.75">
      <c r="A48" s="67" t="s">
        <v>390</v>
      </c>
      <c r="B48" s="217">
        <f t="shared" si="0"/>
        <v>-374.81</v>
      </c>
      <c r="C48" s="217">
        <f t="shared" si="0"/>
        <v>1229</v>
      </c>
      <c r="D48" s="759">
        <f>C48/C49</f>
        <v>0.0003270241818310649</v>
      </c>
      <c r="E48" s="217"/>
      <c r="F48" s="278">
        <f>+F43+F37+F31+F25+F19</f>
        <v>1093.3899999999999</v>
      </c>
      <c r="G48" s="217">
        <f>B48+F48</f>
        <v>718.5799999999999</v>
      </c>
    </row>
    <row r="49" spans="1:7" ht="13.5" thickBot="1">
      <c r="A49" s="94" t="s">
        <v>403</v>
      </c>
      <c r="B49" s="305" t="e">
        <f>SUM(B46:B48)</f>
        <v>#REF!</v>
      </c>
      <c r="C49" s="305">
        <f>SUM(C46:C48)</f>
        <v>3758131.87</v>
      </c>
      <c r="D49" s="759">
        <f>C49/$C$49</f>
        <v>1</v>
      </c>
      <c r="E49" s="305"/>
      <c r="F49" s="306" t="e">
        <f>SUM(F46:F48)</f>
        <v>#REF!</v>
      </c>
      <c r="G49" s="305" t="e">
        <f>B49+F49</f>
        <v>#REF!</v>
      </c>
    </row>
    <row r="50" spans="1:15" s="588" customFormat="1" ht="13.5" thickTop="1">
      <c r="A50" s="584" t="s">
        <v>194</v>
      </c>
      <c r="B50" s="585">
        <f>+'[1]TB03-31-04(Final)'!G486</f>
        <v>292907.87</v>
      </c>
      <c r="C50" s="585">
        <f>+'[1]TB03-31-04(Final)'!G384</f>
        <v>3791762.3499999996</v>
      </c>
      <c r="D50" s="586"/>
      <c r="E50" s="587"/>
      <c r="F50" s="587">
        <f>+'[1]TB03-31-04(Final)'!G547</f>
        <v>139421.58999999997</v>
      </c>
      <c r="G50" s="587"/>
      <c r="J50" s="589"/>
      <c r="K50" s="590"/>
      <c r="L50" s="585"/>
      <c r="M50" s="585"/>
      <c r="O50" s="590"/>
    </row>
    <row r="51" spans="1:15" s="588" customFormat="1" ht="12.75">
      <c r="A51" s="584"/>
      <c r="B51" s="585" t="e">
        <f>+B49-B50</f>
        <v>#REF!</v>
      </c>
      <c r="C51" s="585">
        <f>+C49-C50</f>
        <v>-33630.479999999516</v>
      </c>
      <c r="D51" s="591"/>
      <c r="E51" s="587"/>
      <c r="F51" s="584" t="e">
        <f>+F49-F50</f>
        <v>#REF!</v>
      </c>
      <c r="G51" s="587"/>
      <c r="J51" s="589"/>
      <c r="K51" s="590"/>
      <c r="L51" s="585"/>
      <c r="M51" s="585"/>
      <c r="O51" s="590"/>
    </row>
    <row r="52" spans="1:7" ht="12.75">
      <c r="A52" s="299" t="s">
        <v>45</v>
      </c>
      <c r="B52" s="300"/>
      <c r="C52" s="300"/>
      <c r="D52" s="209"/>
      <c r="E52" s="175"/>
      <c r="F52" s="218"/>
      <c r="G52" s="175"/>
    </row>
    <row r="53" spans="1:7" ht="25.5">
      <c r="A53" s="62" t="s">
        <v>446</v>
      </c>
      <c r="B53" s="176"/>
      <c r="C53" s="176"/>
      <c r="D53" s="210"/>
      <c r="E53" s="204"/>
      <c r="F53" s="297">
        <v>495387.39</v>
      </c>
      <c r="G53" s="204"/>
    </row>
    <row r="55" spans="1:6" ht="12.75">
      <c r="A55" s="118" t="s">
        <v>189</v>
      </c>
      <c r="B55" s="123">
        <v>51200</v>
      </c>
      <c r="C55" s="124">
        <v>51100</v>
      </c>
      <c r="D55" s="220"/>
      <c r="E55" s="125"/>
      <c r="F55" s="125" t="s">
        <v>191</v>
      </c>
    </row>
    <row r="56" spans="2:3" ht="12.75">
      <c r="B56" s="187"/>
      <c r="C56" s="187"/>
    </row>
    <row r="60" ht="12.75">
      <c r="I60" s="7"/>
    </row>
    <row r="61" ht="12.75">
      <c r="I61" s="7"/>
    </row>
    <row r="62" ht="12.75">
      <c r="I62" s="7"/>
    </row>
    <row r="63" ht="12.75">
      <c r="I63" s="7"/>
    </row>
    <row r="64" ht="12.75">
      <c r="I64" s="7"/>
    </row>
    <row r="65" ht="12.75">
      <c r="I65" s="7"/>
    </row>
    <row r="66" ht="12.75">
      <c r="I66" s="7"/>
    </row>
    <row r="67" ht="12.75">
      <c r="I67" s="7"/>
    </row>
    <row r="68" ht="12.75">
      <c r="I68" s="7"/>
    </row>
    <row r="69" ht="12.75">
      <c r="I69" s="7"/>
    </row>
    <row r="70" ht="12.75">
      <c r="I70" s="7"/>
    </row>
    <row r="71" ht="12.75">
      <c r="I71" s="7"/>
    </row>
    <row r="72" ht="12.75">
      <c r="I72" s="7"/>
    </row>
    <row r="73" ht="12.75">
      <c r="I73" s="7"/>
    </row>
    <row r="74" ht="12.75">
      <c r="I74" s="7"/>
    </row>
    <row r="75" ht="12.75">
      <c r="I75" s="7"/>
    </row>
    <row r="78" spans="1:6" ht="12.75">
      <c r="A78" s="10"/>
      <c r="B78" s="10"/>
      <c r="C78" s="10"/>
      <c r="D78" s="221"/>
      <c r="E78" s="10"/>
      <c r="F78" s="10"/>
    </row>
    <row r="79" spans="1:6" ht="12.75">
      <c r="A79" s="10"/>
      <c r="B79" s="10"/>
      <c r="C79" s="10"/>
      <c r="D79" s="221"/>
      <c r="E79" s="10"/>
      <c r="F79" s="71"/>
    </row>
    <row r="80" spans="1:6" ht="12.75">
      <c r="A80" s="67"/>
      <c r="B80" s="10"/>
      <c r="C80" s="10"/>
      <c r="D80" s="222"/>
      <c r="E80" s="67"/>
      <c r="F80" s="146"/>
    </row>
    <row r="81" spans="1:7" ht="12.75">
      <c r="A81" s="10"/>
      <c r="B81" s="10"/>
      <c r="C81" s="10"/>
      <c r="D81" s="221"/>
      <c r="E81" s="10"/>
      <c r="F81" s="71"/>
      <c r="G81" s="53"/>
    </row>
    <row r="82" spans="1:7" ht="12.75">
      <c r="A82" s="10"/>
      <c r="B82" s="10"/>
      <c r="C82" s="10"/>
      <c r="D82" s="221"/>
      <c r="E82" s="10"/>
      <c r="F82" s="10"/>
      <c r="G82" s="53"/>
    </row>
    <row r="83" spans="1:7" ht="12.75">
      <c r="A83" s="67"/>
      <c r="B83" s="67"/>
      <c r="C83" s="67"/>
      <c r="D83" s="221"/>
      <c r="E83" s="10"/>
      <c r="F83" s="10"/>
      <c r="G83" s="53"/>
    </row>
    <row r="84" spans="1:7" ht="12.75">
      <c r="A84" s="67"/>
      <c r="B84" s="67"/>
      <c r="C84" s="67"/>
      <c r="D84" s="221"/>
      <c r="E84" s="10"/>
      <c r="F84" s="10"/>
      <c r="G84" s="53"/>
    </row>
    <row r="85" spans="1:7" ht="12.75">
      <c r="A85" s="10"/>
      <c r="B85" s="10"/>
      <c r="C85" s="10"/>
      <c r="D85" s="221"/>
      <c r="E85" s="10"/>
      <c r="F85" s="10"/>
      <c r="G85" s="53"/>
    </row>
    <row r="86" spans="1:7" ht="12.75">
      <c r="A86" s="10"/>
      <c r="B86" s="10"/>
      <c r="C86" s="10"/>
      <c r="D86" s="221"/>
      <c r="E86" s="10"/>
      <c r="F86" s="10"/>
      <c r="G86" s="53"/>
    </row>
    <row r="87" spans="1:7" ht="12.75">
      <c r="A87" s="10"/>
      <c r="B87" s="10"/>
      <c r="C87" s="10"/>
      <c r="D87" s="221"/>
      <c r="E87" s="10"/>
      <c r="F87" s="10"/>
      <c r="G87" s="53"/>
    </row>
    <row r="88" spans="1:7" ht="12.75">
      <c r="A88" s="67"/>
      <c r="B88" s="67"/>
      <c r="C88" s="67"/>
      <c r="D88" s="222"/>
      <c r="E88" s="67"/>
      <c r="F88" s="10"/>
      <c r="G88" s="53"/>
    </row>
    <row r="89" spans="1:7" ht="12.75">
      <c r="A89" s="67"/>
      <c r="B89" s="67"/>
      <c r="C89" s="67"/>
      <c r="D89" s="222"/>
      <c r="E89" s="67"/>
      <c r="F89" s="10"/>
      <c r="G89" s="53"/>
    </row>
    <row r="90" spans="1:7" ht="12.75">
      <c r="A90" s="67"/>
      <c r="B90" s="67"/>
      <c r="C90" s="67"/>
      <c r="D90" s="222"/>
      <c r="E90" s="67"/>
      <c r="F90" s="10"/>
      <c r="G90" s="53"/>
    </row>
    <row r="91" spans="1:7" ht="12.75">
      <c r="A91" s="67"/>
      <c r="B91" s="67"/>
      <c r="C91" s="67"/>
      <c r="D91" s="222"/>
      <c r="E91" s="67"/>
      <c r="F91" s="10"/>
      <c r="G91" s="53"/>
    </row>
    <row r="92" spans="1:7" ht="12.75">
      <c r="A92" s="67"/>
      <c r="B92" s="67"/>
      <c r="C92" s="67"/>
      <c r="D92" s="222"/>
      <c r="E92" s="67"/>
      <c r="F92" s="10"/>
      <c r="G92" s="53"/>
    </row>
    <row r="93" spans="1:7" ht="12.75">
      <c r="A93" s="67"/>
      <c r="B93" s="67"/>
      <c r="C93" s="67"/>
      <c r="D93" s="222"/>
      <c r="E93" s="67"/>
      <c r="F93" s="10"/>
      <c r="G93" s="53"/>
    </row>
    <row r="94" spans="1:7" ht="12.75">
      <c r="A94" s="67"/>
      <c r="B94" s="67"/>
      <c r="C94" s="67"/>
      <c r="D94" s="222"/>
      <c r="E94" s="67"/>
      <c r="F94" s="10"/>
      <c r="G94" s="53"/>
    </row>
    <row r="95" spans="1:6" ht="12.75">
      <c r="A95" s="67"/>
      <c r="B95" s="67"/>
      <c r="C95" s="67"/>
      <c r="D95" s="222"/>
      <c r="E95" s="67"/>
      <c r="F95" s="10"/>
    </row>
    <row r="96" spans="1:6" ht="12.75">
      <c r="A96" s="10"/>
      <c r="B96" s="10"/>
      <c r="C96" s="10"/>
      <c r="D96" s="221"/>
      <c r="E96" s="10"/>
      <c r="F96" s="10"/>
    </row>
    <row r="97" spans="1:6" ht="12.75">
      <c r="A97" s="10"/>
      <c r="B97" s="10"/>
      <c r="C97" s="10"/>
      <c r="D97" s="221"/>
      <c r="E97" s="10"/>
      <c r="F97" s="10"/>
    </row>
    <row r="98" spans="1:6" ht="12.75">
      <c r="A98" s="10"/>
      <c r="B98" s="10"/>
      <c r="C98" s="10"/>
      <c r="D98" s="221"/>
      <c r="E98" s="10"/>
      <c r="F98" s="10"/>
    </row>
    <row r="99" spans="1:6" ht="12.75">
      <c r="A99" s="10"/>
      <c r="B99" s="10"/>
      <c r="C99" s="10"/>
      <c r="D99" s="221"/>
      <c r="E99" s="10"/>
      <c r="F99" s="10"/>
    </row>
    <row r="100" spans="1:6" ht="12.75">
      <c r="A100" s="10"/>
      <c r="B100" s="10"/>
      <c r="C100" s="10"/>
      <c r="D100" s="221"/>
      <c r="E100" s="10"/>
      <c r="F100" s="10"/>
    </row>
  </sheetData>
  <mergeCells count="6">
    <mergeCell ref="A4:G4"/>
    <mergeCell ref="A5:G5"/>
    <mergeCell ref="H1:M1"/>
    <mergeCell ref="H2:M2"/>
    <mergeCell ref="A1:G1"/>
    <mergeCell ref="A2:G2"/>
  </mergeCells>
  <printOptions gridLines="1" headings="1" horizontalCentered="1"/>
  <pageMargins left="0.75" right="0.75" top="0.75" bottom="0.75" header="0.5" footer="0.5"/>
  <pageSetup horizontalDpi="600" verticalDpi="600" orientation="portrait" scale="90" r:id="rId1"/>
  <headerFooter alignWithMargins="0">
    <oddFooter>&amp;LZ:\Hicksp\Excel\&amp;F&amp;A&amp;CPage 17
&amp;R&amp;T&amp;D</oddFooter>
  </headerFooter>
</worksheet>
</file>

<file path=xl/worksheets/sheet19.xml><?xml version="1.0" encoding="utf-8"?>
<worksheet xmlns="http://schemas.openxmlformats.org/spreadsheetml/2006/main" xmlns:r="http://schemas.openxmlformats.org/officeDocument/2006/relationships">
  <dimension ref="A2:J40"/>
  <sheetViews>
    <sheetView zoomScale="75" zoomScaleNormal="75" workbookViewId="0" topLeftCell="A14">
      <selection activeCell="B18" sqref="B18"/>
    </sheetView>
  </sheetViews>
  <sheetFormatPr defaultColWidth="9.140625" defaultRowHeight="19.5" customHeight="1"/>
  <cols>
    <col min="1" max="1" width="37.140625" style="2" customWidth="1"/>
    <col min="2" max="2" width="19.7109375" style="2" customWidth="1"/>
    <col min="3" max="3" width="2.7109375" style="2" customWidth="1"/>
    <col min="4" max="4" width="18.421875" style="2" customWidth="1"/>
    <col min="5" max="5" width="3.140625" style="2" customWidth="1"/>
    <col min="6" max="6" width="10.421875" style="2" customWidth="1"/>
    <col min="7" max="7" width="3.7109375" style="2" customWidth="1"/>
    <col min="8" max="8" width="16.00390625" style="2" customWidth="1"/>
    <col min="9" max="9" width="2.28125" style="2" customWidth="1"/>
    <col min="10" max="10" width="15.7109375" style="2" customWidth="1"/>
    <col min="11" max="11" width="3.00390625" style="2" customWidth="1"/>
    <col min="12" max="16384" width="9.140625" style="2" customWidth="1"/>
  </cols>
  <sheetData>
    <row r="2" spans="1:10" ht="19.5" customHeight="1">
      <c r="A2" s="969" t="s">
        <v>80</v>
      </c>
      <c r="B2" s="969"/>
      <c r="C2" s="969"/>
      <c r="D2" s="969"/>
      <c r="E2" s="969"/>
      <c r="F2" s="969"/>
      <c r="G2" s="969"/>
      <c r="H2" s="969"/>
      <c r="I2" s="969"/>
      <c r="J2" s="969"/>
    </row>
    <row r="3" spans="1:7" ht="19.5" customHeight="1">
      <c r="A3" s="243"/>
      <c r="B3" s="244"/>
      <c r="C3" s="244"/>
      <c r="E3" s="244"/>
      <c r="F3" s="244"/>
      <c r="G3" s="244"/>
    </row>
    <row r="4" spans="1:10" ht="19.5" customHeight="1">
      <c r="A4" s="970" t="s">
        <v>81</v>
      </c>
      <c r="B4" s="970"/>
      <c r="C4" s="970"/>
      <c r="D4" s="970"/>
      <c r="E4" s="970"/>
      <c r="F4" s="970"/>
      <c r="G4" s="970"/>
      <c r="H4" s="970"/>
      <c r="I4" s="970"/>
      <c r="J4" s="970"/>
    </row>
    <row r="5" ht="19.5" customHeight="1">
      <c r="B5" s="9"/>
    </row>
    <row r="6" spans="2:10" ht="19.5" customHeight="1">
      <c r="B6" s="971" t="s">
        <v>426</v>
      </c>
      <c r="C6" s="971"/>
      <c r="D6" s="971"/>
      <c r="E6" s="6"/>
      <c r="F6" s="6"/>
      <c r="G6" s="6"/>
      <c r="H6" s="141" t="s">
        <v>427</v>
      </c>
      <c r="I6" s="141"/>
      <c r="J6" s="140"/>
    </row>
    <row r="7" spans="2:10" ht="19.5" customHeight="1" thickBot="1">
      <c r="B7" s="972" t="s">
        <v>82</v>
      </c>
      <c r="C7" s="972"/>
      <c r="D7" s="972"/>
      <c r="E7" s="248"/>
      <c r="F7" s="248"/>
      <c r="G7" s="248"/>
      <c r="H7" s="972" t="s">
        <v>82</v>
      </c>
      <c r="I7" s="972"/>
      <c r="J7" s="972"/>
    </row>
    <row r="8" spans="2:10" ht="19.5" customHeight="1" thickBot="1">
      <c r="B8" s="245">
        <v>2002</v>
      </c>
      <c r="C8" s="139"/>
      <c r="D8" s="245">
        <v>2001</v>
      </c>
      <c r="E8" s="139"/>
      <c r="F8" s="361" t="s">
        <v>218</v>
      </c>
      <c r="G8" s="139"/>
      <c r="H8" s="245">
        <v>2002</v>
      </c>
      <c r="I8" s="139"/>
      <c r="J8" s="245">
        <v>2001</v>
      </c>
    </row>
    <row r="9" spans="1:9" ht="19.5" customHeight="1">
      <c r="A9" s="14"/>
      <c r="B9" s="112"/>
      <c r="C9" s="112"/>
      <c r="D9" s="14"/>
      <c r="E9" s="130"/>
      <c r="F9" s="130"/>
      <c r="G9" s="130"/>
      <c r="I9" s="45"/>
    </row>
    <row r="10" spans="1:10" ht="19.5" customHeight="1">
      <c r="A10" s="95" t="s">
        <v>83</v>
      </c>
      <c r="B10" s="131">
        <f>-'[1]TB03-31-04(Final)'!E317</f>
        <v>5676242</v>
      </c>
      <c r="C10" s="131"/>
      <c r="D10" s="131">
        <f>+'[5]Highlights (pg 1)'!$B$10</f>
        <v>4280821</v>
      </c>
      <c r="E10" s="131"/>
      <c r="F10" s="363">
        <f>(+B10-D10)/D10</f>
        <v>0.3259704154880571</v>
      </c>
      <c r="G10" s="131"/>
      <c r="H10" s="131">
        <f>-'[1]TB03-31-04(Final)'!G317</f>
        <v>5676242</v>
      </c>
      <c r="I10" s="131"/>
      <c r="J10" s="131">
        <f>+'[5]Highlights (pg 1)'!$F$10</f>
        <v>16190670</v>
      </c>
    </row>
    <row r="11" spans="1:10" ht="19.5" customHeight="1">
      <c r="A11" s="95"/>
      <c r="B11" s="112"/>
      <c r="C11" s="112"/>
      <c r="D11" s="112"/>
      <c r="E11" s="112"/>
      <c r="F11" s="362"/>
      <c r="G11" s="112"/>
      <c r="H11" s="112"/>
      <c r="I11" s="14"/>
      <c r="J11" s="112"/>
    </row>
    <row r="12" spans="1:10" ht="19.5" customHeight="1">
      <c r="A12" s="95" t="s">
        <v>84</v>
      </c>
      <c r="B12" s="112">
        <f>-'[1]TB03-31-04(Final)'!E338</f>
        <v>5376116</v>
      </c>
      <c r="C12" s="112"/>
      <c r="D12" s="112">
        <f>+'[5]Highlights (pg 1)'!$B$12</f>
        <v>4133399</v>
      </c>
      <c r="E12" s="112"/>
      <c r="F12" s="363">
        <f>(+B12-D12)/D12</f>
        <v>0.30065256221332615</v>
      </c>
      <c r="G12" s="112"/>
      <c r="H12" s="112">
        <f>-'[1]TB03-31-04(Final)'!G338</f>
        <v>5376116</v>
      </c>
      <c r="I12" s="112"/>
      <c r="J12" s="112">
        <f>+'[5]Highlights (pg 1)'!$F$12</f>
        <v>16708714</v>
      </c>
    </row>
    <row r="13" spans="1:10" ht="19.5" customHeight="1">
      <c r="A13" s="95"/>
      <c r="B13" s="112"/>
      <c r="C13" s="112"/>
      <c r="D13" s="112"/>
      <c r="E13" s="112"/>
      <c r="F13" s="362"/>
      <c r="G13" s="112"/>
      <c r="H13" s="112"/>
      <c r="I13" s="14"/>
      <c r="J13" s="112"/>
    </row>
    <row r="14" spans="1:10" ht="19.5" customHeight="1">
      <c r="A14" s="95" t="s">
        <v>85</v>
      </c>
      <c r="B14" s="112">
        <f>+'[1]TB03-31-04(Final)'!E462</f>
        <v>4105799.4900000007</v>
      </c>
      <c r="C14" s="112"/>
      <c r="D14" s="112">
        <f>+'[5]Highlights (pg 1)'!$B$14</f>
        <v>2779701.7999999993</v>
      </c>
      <c r="E14" s="112"/>
      <c r="F14" s="363">
        <f>(+B14-D14)/D14</f>
        <v>0.477064730468571</v>
      </c>
      <c r="G14" s="112"/>
      <c r="H14" s="112">
        <f>+'[1]TB03-31-04(Final)'!G462</f>
        <v>4105799.4900000007</v>
      </c>
      <c r="I14" s="112"/>
      <c r="J14" s="112">
        <f>+'[5]Highlights (pg 1)'!$F$14</f>
        <v>14011900.985</v>
      </c>
    </row>
    <row r="15" spans="1:10" ht="19.5" customHeight="1">
      <c r="A15" s="95"/>
      <c r="B15" s="112"/>
      <c r="C15" s="112"/>
      <c r="D15" s="112"/>
      <c r="E15" s="112"/>
      <c r="F15" s="362"/>
      <c r="G15" s="112"/>
      <c r="H15" s="112"/>
      <c r="I15" s="14"/>
      <c r="J15" s="112"/>
    </row>
    <row r="16" spans="1:10" ht="19.5" customHeight="1">
      <c r="A16" s="95" t="s">
        <v>86</v>
      </c>
      <c r="B16" s="112">
        <f>+'[1]TB03-31-04(Final)'!E578</f>
        <v>474152.5300000001</v>
      </c>
      <c r="C16" s="112"/>
      <c r="D16" s="112">
        <f>+'[5]Highlights (pg 1)'!$B$16</f>
        <v>359851.97759499995</v>
      </c>
      <c r="E16" s="112"/>
      <c r="F16" s="363">
        <f>(+B16-D16)/D16</f>
        <v>0.3176321363270127</v>
      </c>
      <c r="G16" s="112"/>
      <c r="H16" s="112">
        <f>+'[1]TB03-31-04(Final)'!G578</f>
        <v>474152.5300000001</v>
      </c>
      <c r="I16" s="112"/>
      <c r="J16" s="112">
        <f>+'[5]Highlights (pg 1)'!$F$16</f>
        <v>1458256.25543</v>
      </c>
    </row>
    <row r="17" spans="1:10" ht="19.5" customHeight="1">
      <c r="A17" s="95"/>
      <c r="B17" s="112"/>
      <c r="C17" s="112"/>
      <c r="D17" s="112"/>
      <c r="E17" s="112"/>
      <c r="F17" s="362"/>
      <c r="G17" s="112"/>
      <c r="H17" s="112"/>
      <c r="I17" s="14"/>
      <c r="J17" s="112"/>
    </row>
    <row r="18" spans="1:10" ht="19.5" customHeight="1">
      <c r="A18" s="95" t="s">
        <v>87</v>
      </c>
      <c r="B18" s="112">
        <f>+'[1]TB03-31-04(Final)'!E648+'[1]TB03-31-04(Final)'!E1005</f>
        <v>1100075.5799999996</v>
      </c>
      <c r="C18" s="112"/>
      <c r="D18" s="112">
        <f>+'[5]Highlights (pg 1)'!$B$18</f>
        <v>1236377.2000000002</v>
      </c>
      <c r="E18" s="112"/>
      <c r="F18" s="363">
        <f>(+B18-D18)/D18</f>
        <v>-0.11024274792514821</v>
      </c>
      <c r="G18" s="112"/>
      <c r="H18" s="112">
        <f>+'[1]TB03-31-04(Final)'!G648+'[1]TB03-31-04(Final)'!G1005</f>
        <v>1628632.9299999997</v>
      </c>
      <c r="I18" s="112"/>
      <c r="J18" s="112">
        <f>+'[5]Highlights (pg 1)'!$F$18</f>
        <v>5361056.619999999</v>
      </c>
    </row>
    <row r="19" spans="1:10" ht="19.5" customHeight="1">
      <c r="A19" s="95"/>
      <c r="B19" s="112"/>
      <c r="C19" s="112"/>
      <c r="D19" s="112"/>
      <c r="E19" s="112"/>
      <c r="F19" s="362"/>
      <c r="G19" s="112"/>
      <c r="H19" s="112"/>
      <c r="I19" s="14"/>
      <c r="J19" s="112"/>
    </row>
    <row r="20" spans="1:10" ht="19.5" customHeight="1">
      <c r="A20" s="95" t="s">
        <v>256</v>
      </c>
      <c r="B20" s="112">
        <f>B12-B14-B16-B18</f>
        <v>-303911.6000000003</v>
      </c>
      <c r="C20" s="112"/>
      <c r="D20" s="112">
        <f>D12-D14-D16-D18</f>
        <v>-242531.97759499948</v>
      </c>
      <c r="E20" s="112"/>
      <c r="F20" s="363">
        <f>(+B20-D20)/D20</f>
        <v>0.2530784724293048</v>
      </c>
      <c r="G20" s="112"/>
      <c r="H20" s="112">
        <f>H12-H14-H16-H18</f>
        <v>-832468.9500000004</v>
      </c>
      <c r="I20" s="14"/>
      <c r="J20" s="112">
        <f>J12-J14-J16-J18</f>
        <v>-4122499.8604299985</v>
      </c>
    </row>
    <row r="21" spans="1:10" ht="19.5" customHeight="1">
      <c r="A21" s="95"/>
      <c r="B21" s="112"/>
      <c r="C21" s="112"/>
      <c r="D21" s="112"/>
      <c r="E21" s="112"/>
      <c r="F21" s="362"/>
      <c r="G21" s="112"/>
      <c r="H21" s="112"/>
      <c r="I21" s="14"/>
      <c r="J21" s="112"/>
    </row>
    <row r="22" spans="1:10" ht="19.5" customHeight="1">
      <c r="A22" s="95" t="s">
        <v>88</v>
      </c>
      <c r="B22" s="112">
        <f>-'[1]TB03-31-04(Final)'!E357</f>
        <v>29500.729999999996</v>
      </c>
      <c r="C22" s="112"/>
      <c r="D22" s="131">
        <f>+'[5]Highlights (pg 1)'!$B$22</f>
        <v>51020.619999999995</v>
      </c>
      <c r="E22" s="112"/>
      <c r="F22" s="363">
        <f>(+B22-D22)/D22</f>
        <v>-0.421788092735839</v>
      </c>
      <c r="G22" s="112"/>
      <c r="H22" s="112">
        <f>-'[1]TB03-31-04(Final)'!G357</f>
        <v>29500.729999999996</v>
      </c>
      <c r="I22" s="112"/>
      <c r="J22" s="112">
        <f>+'[5]Highlights (pg 1)'!$F$22</f>
        <v>406576.29999999993</v>
      </c>
    </row>
    <row r="23" spans="1:10" ht="19.5" customHeight="1">
      <c r="A23" s="95"/>
      <c r="B23" s="112"/>
      <c r="C23" s="112"/>
      <c r="D23" s="112"/>
      <c r="E23" s="112"/>
      <c r="F23" s="362"/>
      <c r="G23" s="112"/>
      <c r="H23" s="112"/>
      <c r="I23" s="14"/>
      <c r="J23" s="112"/>
    </row>
    <row r="24" spans="1:10" ht="19.5" customHeight="1">
      <c r="A24" s="95" t="s">
        <v>144</v>
      </c>
      <c r="B24" s="131">
        <f>B20+B22</f>
        <v>-274410.87000000034</v>
      </c>
      <c r="C24" s="131"/>
      <c r="D24" s="131">
        <f>D20+D22-1</f>
        <v>-191512.35759499948</v>
      </c>
      <c r="E24" s="131"/>
      <c r="F24" s="362">
        <f>(+B24-D24)/D24</f>
        <v>0.4328624713623461</v>
      </c>
      <c r="G24" s="131"/>
      <c r="H24" s="131">
        <f>H20+H22</f>
        <v>-802968.2200000004</v>
      </c>
      <c r="I24" s="14"/>
      <c r="J24" s="131">
        <f>J20+J22</f>
        <v>-3715923.5604299987</v>
      </c>
    </row>
    <row r="25" spans="1:10" ht="19.5" customHeight="1">
      <c r="A25" s="95"/>
      <c r="B25" s="112"/>
      <c r="C25" s="112"/>
      <c r="D25" s="112"/>
      <c r="E25" s="112"/>
      <c r="F25" s="112"/>
      <c r="G25" s="112"/>
      <c r="H25" s="112"/>
      <c r="I25" s="14"/>
      <c r="J25" s="14"/>
    </row>
    <row r="26" spans="1:10" ht="19.5" customHeight="1">
      <c r="A26" s="95"/>
      <c r="B26" s="112"/>
      <c r="C26" s="112"/>
      <c r="D26" s="112"/>
      <c r="E26" s="112"/>
      <c r="F26" s="112"/>
      <c r="G26" s="112"/>
      <c r="H26" s="112"/>
      <c r="I26" s="14"/>
      <c r="J26" s="14"/>
    </row>
    <row r="27" spans="1:10" ht="19.5" customHeight="1">
      <c r="A27" s="95"/>
      <c r="B27" s="112"/>
      <c r="C27" s="112"/>
      <c r="D27" s="112"/>
      <c r="E27" s="112"/>
      <c r="F27" s="112"/>
      <c r="G27" s="112"/>
      <c r="H27" s="112"/>
      <c r="I27" s="14"/>
      <c r="J27" s="14"/>
    </row>
    <row r="28" spans="1:10" ht="19.5" customHeight="1">
      <c r="A28" s="95"/>
      <c r="B28" s="112"/>
      <c r="C28" s="112"/>
      <c r="D28" s="112"/>
      <c r="E28" s="112"/>
      <c r="F28" s="112"/>
      <c r="G28" s="112"/>
      <c r="H28" s="112"/>
      <c r="I28" s="14"/>
      <c r="J28" s="14"/>
    </row>
    <row r="29" spans="1:10" ht="19.5" customHeight="1">
      <c r="A29" s="95" t="s">
        <v>89</v>
      </c>
      <c r="B29" s="132">
        <f>(B14+B16)/B12</f>
        <v>0.8519072170317754</v>
      </c>
      <c r="C29" s="134"/>
      <c r="D29" s="132">
        <f>(D14+D16)/D12</f>
        <v>0.7595573951595284</v>
      </c>
      <c r="E29" s="134"/>
      <c r="F29" s="134"/>
      <c r="G29" s="134"/>
      <c r="H29" s="132">
        <f>(H14+H16)/H12</f>
        <v>0.8519072170317754</v>
      </c>
      <c r="I29" s="132"/>
      <c r="J29" s="132">
        <f>(J14+J16)/J12</f>
        <v>0.9258736034640368</v>
      </c>
    </row>
    <row r="30" spans="1:10" ht="19.5" customHeight="1">
      <c r="A30" s="95"/>
      <c r="B30" s="133"/>
      <c r="C30" s="134"/>
      <c r="D30" s="133"/>
      <c r="E30" s="134"/>
      <c r="F30" s="134"/>
      <c r="G30" s="134"/>
      <c r="H30" s="133"/>
      <c r="I30" s="133"/>
      <c r="J30" s="133"/>
    </row>
    <row r="31" spans="1:10" ht="19.5" customHeight="1">
      <c r="A31" s="95" t="s">
        <v>90</v>
      </c>
      <c r="B31" s="132">
        <f>B18/B10</f>
        <v>0.19380350238767122</v>
      </c>
      <c r="C31" s="134"/>
      <c r="D31" s="132">
        <f>D18/D10</f>
        <v>0.2888177758425312</v>
      </c>
      <c r="E31" s="134"/>
      <c r="F31" s="134"/>
      <c r="G31" s="134"/>
      <c r="H31" s="132">
        <f>H18/H10</f>
        <v>0.2869209822273257</v>
      </c>
      <c r="I31" s="132"/>
      <c r="J31" s="132">
        <f>J18/J10</f>
        <v>0.3311201216503084</v>
      </c>
    </row>
    <row r="32" spans="1:10" ht="19.5" customHeight="1">
      <c r="A32" s="95"/>
      <c r="B32" s="133"/>
      <c r="C32" s="134"/>
      <c r="D32" s="133"/>
      <c r="E32" s="134"/>
      <c r="F32" s="134"/>
      <c r="G32" s="134"/>
      <c r="H32" s="133"/>
      <c r="I32" s="133"/>
      <c r="J32" s="133"/>
    </row>
    <row r="33" spans="1:10" ht="19.5" customHeight="1">
      <c r="A33" s="95" t="s">
        <v>91</v>
      </c>
      <c r="B33" s="246">
        <f>SUM(B29:B32)</f>
        <v>1.0457107194194466</v>
      </c>
      <c r="C33" s="246"/>
      <c r="D33" s="246">
        <f>SUM(D29:D31)</f>
        <v>1.0483751710020597</v>
      </c>
      <c r="E33" s="246"/>
      <c r="F33" s="246"/>
      <c r="G33" s="246"/>
      <c r="H33" s="246">
        <f>SUM(H29:H32)</f>
        <v>1.1388281992591012</v>
      </c>
      <c r="I33" s="246"/>
      <c r="J33" s="246">
        <f>SUM(J29:J31)</f>
        <v>1.2569937251143453</v>
      </c>
    </row>
    <row r="34" spans="1:4" ht="19.5" customHeight="1">
      <c r="A34" s="14"/>
      <c r="B34" s="247"/>
      <c r="C34" s="24"/>
      <c r="D34" s="14"/>
    </row>
    <row r="35" spans="1:4" ht="19.5" customHeight="1">
      <c r="A35" s="14"/>
      <c r="B35" s="247"/>
      <c r="C35" s="24"/>
      <c r="D35" s="14"/>
    </row>
    <row r="36" spans="1:4" ht="19.5" customHeight="1">
      <c r="A36" s="14"/>
      <c r="B36" s="247"/>
      <c r="C36" s="23"/>
      <c r="D36" s="14"/>
    </row>
    <row r="37" spans="1:4" ht="19.5" customHeight="1">
      <c r="A37" s="14"/>
      <c r="B37" s="247"/>
      <c r="C37" s="23"/>
      <c r="D37" s="14"/>
    </row>
    <row r="38" spans="1:4" ht="19.5" customHeight="1">
      <c r="A38" s="14"/>
      <c r="B38" s="247"/>
      <c r="C38" s="23"/>
      <c r="D38" s="14"/>
    </row>
    <row r="39" ht="19.5" customHeight="1">
      <c r="C39" s="91"/>
    </row>
    <row r="40" ht="19.5" customHeight="1">
      <c r="A40" s="135"/>
    </row>
  </sheetData>
  <mergeCells count="5">
    <mergeCell ref="A2:J2"/>
    <mergeCell ref="A4:J4"/>
    <mergeCell ref="B6:D6"/>
    <mergeCell ref="B7:D7"/>
    <mergeCell ref="H7:J7"/>
  </mergeCells>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49"/>
  <sheetViews>
    <sheetView zoomScale="75" zoomScaleNormal="75" workbookViewId="0" topLeftCell="A13">
      <selection activeCell="B39" sqref="B39"/>
    </sheetView>
  </sheetViews>
  <sheetFormatPr defaultColWidth="9.140625" defaultRowHeight="12.75"/>
  <cols>
    <col min="1" max="1" width="4.421875" style="14" customWidth="1"/>
    <col min="2" max="2" width="54.7109375" style="14" customWidth="1"/>
    <col min="3" max="6" width="17.00390625" style="480" customWidth="1"/>
    <col min="7" max="7" width="3.7109375" style="14" customWidth="1"/>
    <col min="8" max="8" width="20.8515625" style="16" bestFit="1" customWidth="1"/>
    <col min="9" max="9" width="19.421875" style="14" customWidth="1"/>
    <col min="10" max="16384" width="9.140625" style="14" customWidth="1"/>
  </cols>
  <sheetData>
    <row r="1" spans="2:9" s="11" customFormat="1" ht="21.75">
      <c r="B1" s="910" t="s">
        <v>251</v>
      </c>
      <c r="C1" s="911"/>
      <c r="D1" s="911"/>
      <c r="E1" s="911"/>
      <c r="F1" s="911"/>
      <c r="G1" s="911"/>
      <c r="H1" s="911"/>
      <c r="I1" s="912"/>
    </row>
    <row r="2" spans="2:9" s="11" customFormat="1" ht="19.5">
      <c r="B2" s="919"/>
      <c r="C2" s="920"/>
      <c r="D2" s="920"/>
      <c r="E2" s="920"/>
      <c r="F2" s="920"/>
      <c r="G2" s="614"/>
      <c r="H2" s="615"/>
      <c r="I2" s="616"/>
    </row>
    <row r="3" spans="2:9" s="12" customFormat="1" ht="16.5">
      <c r="B3" s="913" t="s">
        <v>206</v>
      </c>
      <c r="C3" s="914"/>
      <c r="D3" s="914"/>
      <c r="E3" s="914"/>
      <c r="F3" s="914"/>
      <c r="G3" s="914"/>
      <c r="H3" s="914"/>
      <c r="I3" s="915"/>
    </row>
    <row r="4" spans="2:9" s="12" customFormat="1" ht="16.5">
      <c r="B4" s="916" t="s">
        <v>150</v>
      </c>
      <c r="C4" s="917"/>
      <c r="D4" s="917"/>
      <c r="E4" s="917"/>
      <c r="F4" s="917"/>
      <c r="G4" s="917"/>
      <c r="H4" s="917"/>
      <c r="I4" s="918"/>
    </row>
    <row r="5" spans="2:9" ht="15">
      <c r="B5" s="617"/>
      <c r="C5" s="642"/>
      <c r="D5" s="642"/>
      <c r="E5" s="908" t="s">
        <v>134</v>
      </c>
      <c r="F5" s="908"/>
      <c r="G5" s="641"/>
      <c r="H5" s="908" t="s">
        <v>135</v>
      </c>
      <c r="I5" s="909"/>
    </row>
    <row r="6" spans="2:9" ht="45">
      <c r="B6" s="617"/>
      <c r="C6" s="618" t="s">
        <v>207</v>
      </c>
      <c r="D6" s="618" t="s">
        <v>208</v>
      </c>
      <c r="E6" s="618" t="s">
        <v>209</v>
      </c>
      <c r="F6" s="618" t="s">
        <v>210</v>
      </c>
      <c r="G6" s="619"/>
      <c r="H6" s="618" t="s">
        <v>209</v>
      </c>
      <c r="I6" s="640" t="s">
        <v>210</v>
      </c>
    </row>
    <row r="7" spans="1:9" ht="15">
      <c r="A7" s="14" t="s">
        <v>424</v>
      </c>
      <c r="B7" s="620" t="s">
        <v>253</v>
      </c>
      <c r="C7" s="475"/>
      <c r="D7" s="475"/>
      <c r="E7" s="475"/>
      <c r="F7" s="475"/>
      <c r="G7" s="619"/>
      <c r="H7" s="605"/>
      <c r="I7" s="605"/>
    </row>
    <row r="8" spans="1:9" ht="14.25">
      <c r="A8" s="14">
        <v>5</v>
      </c>
      <c r="B8" s="621" t="s">
        <v>211</v>
      </c>
      <c r="C8" s="476"/>
      <c r="D8" s="476"/>
      <c r="E8" s="476"/>
      <c r="F8" s="476"/>
      <c r="G8" s="622"/>
      <c r="H8" s="606"/>
      <c r="I8" s="606"/>
    </row>
    <row r="9" spans="2:9" ht="14.25">
      <c r="B9" s="621" t="s">
        <v>212</v>
      </c>
      <c r="C9" s="476">
        <f>+'[1]TB03-31-04(Final)'!G16+'[1]TB03-31-04(Final)'!G23</f>
        <v>9850900.019999998</v>
      </c>
      <c r="D9" s="483">
        <v>0</v>
      </c>
      <c r="E9" s="483">
        <v>0</v>
      </c>
      <c r="F9" s="476">
        <f>SUM(C9:E9)</f>
        <v>9850900.019999998</v>
      </c>
      <c r="G9" s="622"/>
      <c r="H9" s="606"/>
      <c r="I9" s="607">
        <f>+'[7]Balance Sheet (pg 1)'!$E$9</f>
        <v>9779587.32</v>
      </c>
    </row>
    <row r="10" spans="1:9" ht="14.25">
      <c r="A10" s="14">
        <v>11</v>
      </c>
      <c r="B10" s="621" t="s">
        <v>141</v>
      </c>
      <c r="C10" s="484">
        <v>0</v>
      </c>
      <c r="D10" s="484">
        <f>+'[1]TB03-31-04(Final)'!G25</f>
        <v>10038.47</v>
      </c>
      <c r="E10" s="484">
        <v>0</v>
      </c>
      <c r="F10" s="484">
        <f>SUM(C10:E10)</f>
        <v>10038.47</v>
      </c>
      <c r="G10" s="622"/>
      <c r="H10" s="606"/>
      <c r="I10" s="608">
        <f>+'[7]Balance Sheet (pg 1)'!$E$10</f>
        <v>9035.63</v>
      </c>
    </row>
    <row r="11" spans="1:9" ht="14.25" customHeight="1">
      <c r="A11" s="14">
        <v>18</v>
      </c>
      <c r="B11" s="621" t="s">
        <v>255</v>
      </c>
      <c r="C11" s="484">
        <f>+'[1]TB03-31-04(Final)'!E1029</f>
        <v>172930.65000000002</v>
      </c>
      <c r="D11" s="484">
        <v>0</v>
      </c>
      <c r="E11" s="484">
        <f>C11</f>
        <v>172930.65000000002</v>
      </c>
      <c r="F11" s="484">
        <f>+C11-E11</f>
        <v>0</v>
      </c>
      <c r="G11" s="622"/>
      <c r="H11" s="608">
        <f>+'[7]Balance Sheet (pg 1)'!$D$11</f>
        <v>240717.92</v>
      </c>
      <c r="I11" s="609">
        <f>+'[7]Balance Sheet (pg 1)'!$E$11</f>
        <v>0</v>
      </c>
    </row>
    <row r="12" spans="1:9" ht="14.25" customHeight="1">
      <c r="A12" s="14">
        <v>17</v>
      </c>
      <c r="B12" s="621" t="s">
        <v>257</v>
      </c>
      <c r="C12" s="484">
        <f>+'[1]TB03-31-04(Final)'!G1033</f>
        <v>52339.42</v>
      </c>
      <c r="D12" s="484">
        <v>0</v>
      </c>
      <c r="E12" s="484">
        <v>0</v>
      </c>
      <c r="F12" s="484">
        <f>+C12-E12</f>
        <v>52339.42</v>
      </c>
      <c r="G12" s="622"/>
      <c r="H12" s="606"/>
      <c r="I12" s="609">
        <f>+'[7]Balance Sheet (pg 1)'!$E$12</f>
        <v>20473.260000000002</v>
      </c>
    </row>
    <row r="13" spans="1:9" ht="15.75" customHeight="1">
      <c r="A13" s="14">
        <v>18</v>
      </c>
      <c r="B13" s="621" t="s">
        <v>258</v>
      </c>
      <c r="C13" s="484">
        <f>+'[1]TB03-31-04(Final)'!E1038</f>
        <v>46955.560000000005</v>
      </c>
      <c r="D13" s="484">
        <v>0</v>
      </c>
      <c r="E13" s="484">
        <f>C13</f>
        <v>46955.560000000005</v>
      </c>
      <c r="F13" s="484">
        <f>+C13-E13</f>
        <v>0</v>
      </c>
      <c r="G13" s="622"/>
      <c r="H13" s="608">
        <f>+'[7]Balance Sheet (pg 1)'!$D$13</f>
        <v>58331.310000000005</v>
      </c>
      <c r="I13" s="609">
        <f>+'[7]Balance Sheet (pg 1)'!$E$13</f>
        <v>0</v>
      </c>
    </row>
    <row r="14" spans="1:9" ht="14.25">
      <c r="A14" s="14">
        <v>23</v>
      </c>
      <c r="B14" s="623" t="s">
        <v>152</v>
      </c>
      <c r="C14" s="484">
        <v>0</v>
      </c>
      <c r="D14" s="484">
        <v>0</v>
      </c>
      <c r="E14" s="484">
        <v>0</v>
      </c>
      <c r="F14" s="484">
        <f>+C14-E14</f>
        <v>0</v>
      </c>
      <c r="G14" s="622"/>
      <c r="H14" s="612">
        <f>+'[7]Balance Sheet (pg 1)'!$D$16</f>
        <v>335155</v>
      </c>
      <c r="I14" s="609">
        <f>+'[7]Balance Sheet (pg 1)'!$E$16</f>
        <v>0</v>
      </c>
    </row>
    <row r="15" spans="1:9" ht="14.25">
      <c r="A15" s="14">
        <v>23</v>
      </c>
      <c r="B15" s="624" t="s">
        <v>153</v>
      </c>
      <c r="C15" s="613">
        <v>0</v>
      </c>
      <c r="D15" s="613">
        <v>0</v>
      </c>
      <c r="E15" s="613">
        <f>C15</f>
        <v>0</v>
      </c>
      <c r="F15" s="613">
        <f>+C15-E15</f>
        <v>0</v>
      </c>
      <c r="G15" s="625"/>
      <c r="H15" s="612">
        <v>42501</v>
      </c>
      <c r="I15" s="611">
        <f>+'[7]Balance Sheet (pg 1)'!$E$14</f>
        <v>0</v>
      </c>
    </row>
    <row r="16" spans="1:9" ht="14.25">
      <c r="A16" s="14">
        <v>23</v>
      </c>
      <c r="B16" s="623" t="s">
        <v>154</v>
      </c>
      <c r="C16" s="485" t="e">
        <f>+'[1]TB03-31-04(Final)'!F1025</f>
        <v>#REF!</v>
      </c>
      <c r="D16" s="484">
        <v>0</v>
      </c>
      <c r="E16" s="484">
        <v>0</v>
      </c>
      <c r="F16" s="484" t="e">
        <f>+C16-D16-E16</f>
        <v>#REF!</v>
      </c>
      <c r="G16" s="622"/>
      <c r="H16" s="612">
        <f>+'[7]Balance Sheet (pg 1)'!$D$17</f>
        <v>4979.98</v>
      </c>
      <c r="I16" s="609">
        <f>+'[7]Balance Sheet (pg 1)'!$E$17</f>
        <v>0</v>
      </c>
    </row>
    <row r="17" spans="2:9" ht="15">
      <c r="B17" s="626" t="s">
        <v>259</v>
      </c>
      <c r="C17" s="477" t="e">
        <f>SUM(C9:C16)</f>
        <v>#REF!</v>
      </c>
      <c r="D17" s="477">
        <f>SUM(D9:D16)</f>
        <v>10038.47</v>
      </c>
      <c r="E17" s="477">
        <f>SUM(E9:E16)</f>
        <v>219886.21000000002</v>
      </c>
      <c r="F17" s="477" t="e">
        <f>SUM(F9:F16)</f>
        <v>#REF!</v>
      </c>
      <c r="G17" s="622"/>
      <c r="H17" s="477">
        <f>SUM(H7:H16)</f>
        <v>681685.21</v>
      </c>
      <c r="I17" s="477">
        <f>SUM(I9:I16)</f>
        <v>9809096.21</v>
      </c>
    </row>
    <row r="18" spans="2:9" ht="14.25">
      <c r="B18" s="627"/>
      <c r="C18" s="478"/>
      <c r="D18" s="478"/>
      <c r="E18" s="478"/>
      <c r="F18" s="478"/>
      <c r="G18" s="622"/>
      <c r="H18" s="628"/>
      <c r="I18" s="629"/>
    </row>
    <row r="19" spans="1:9" ht="15">
      <c r="A19" s="679" t="s">
        <v>423</v>
      </c>
      <c r="B19" s="630" t="s">
        <v>260</v>
      </c>
      <c r="C19" s="478"/>
      <c r="D19" s="478"/>
      <c r="E19" s="478"/>
      <c r="F19" s="478"/>
      <c r="G19" s="622"/>
      <c r="H19" s="22"/>
      <c r="I19" s="629"/>
    </row>
    <row r="20" spans="1:9" ht="15">
      <c r="A20" s="14">
        <v>1</v>
      </c>
      <c r="B20" s="631" t="s">
        <v>137</v>
      </c>
      <c r="C20" s="478"/>
      <c r="D20" s="479"/>
      <c r="E20" s="487">
        <f>-'[1]TB3-31-04 (Pre)'!F199</f>
        <v>47682</v>
      </c>
      <c r="F20" s="479"/>
      <c r="G20" s="622"/>
      <c r="H20" s="344">
        <f>+'[7]Balance Sheet (pg 1)'!$D$26</f>
        <v>91297.81</v>
      </c>
      <c r="I20" s="629"/>
    </row>
    <row r="21" spans="1:9" ht="15">
      <c r="A21" s="14">
        <v>3</v>
      </c>
      <c r="B21" s="631" t="s">
        <v>138</v>
      </c>
      <c r="C21" s="478"/>
      <c r="D21" s="479"/>
      <c r="E21" s="487">
        <f>-'[1]TB3-31-04 (Pre)'!F198</f>
        <v>6748.45</v>
      </c>
      <c r="F21" s="488"/>
      <c r="G21" s="622"/>
      <c r="H21" s="344"/>
      <c r="I21" s="629"/>
    </row>
    <row r="22" spans="1:9" ht="15">
      <c r="A22" s="14">
        <v>4</v>
      </c>
      <c r="B22" s="631" t="s">
        <v>139</v>
      </c>
      <c r="C22" s="478"/>
      <c r="D22" s="548"/>
      <c r="E22" s="487">
        <f>-'[1]TB03-31-04(Final)'!G272</f>
        <v>263743.5</v>
      </c>
      <c r="F22" s="478"/>
      <c r="G22" s="622"/>
      <c r="H22" s="344">
        <f>+'[7]Balance Sheet (pg 1)'!$D$25</f>
        <v>113994.26000000001</v>
      </c>
      <c r="I22" s="629"/>
    </row>
    <row r="23" spans="1:9" ht="15">
      <c r="A23" s="14">
        <v>5</v>
      </c>
      <c r="B23" s="631" t="s">
        <v>103</v>
      </c>
      <c r="C23" s="478"/>
      <c r="D23" s="548"/>
      <c r="E23" s="487">
        <f>-'[1]TB03-31-04(Final)'!G207</f>
        <v>20527.9</v>
      </c>
      <c r="F23" s="478"/>
      <c r="G23" s="622"/>
      <c r="H23" s="127">
        <f>-'[6]TB09-30-02(Final)'!$F$195</f>
        <v>37678.14</v>
      </c>
      <c r="I23" s="629"/>
    </row>
    <row r="24" spans="1:9" ht="15" customHeight="1">
      <c r="A24" s="14">
        <v>6</v>
      </c>
      <c r="B24" s="631" t="s">
        <v>140</v>
      </c>
      <c r="C24" s="478"/>
      <c r="D24" s="478"/>
      <c r="E24" s="487">
        <f>-'[1]TB03-31-04(Final)'!G199</f>
        <v>50113.97</v>
      </c>
      <c r="F24" s="478"/>
      <c r="G24" s="622"/>
      <c r="H24" s="344">
        <f>+'[7]Balance Sheet (pg 1)'!$D$37</f>
        <v>34740</v>
      </c>
      <c r="I24" s="629"/>
    </row>
    <row r="25" spans="1:9" ht="15">
      <c r="A25" s="14">
        <v>10</v>
      </c>
      <c r="B25" s="631" t="s">
        <v>14</v>
      </c>
      <c r="C25" s="478"/>
      <c r="D25" s="479"/>
      <c r="E25" s="487">
        <f>-'[1]TB03-31-04(Final)'!G267</f>
        <v>446013</v>
      </c>
      <c r="F25" s="478"/>
      <c r="G25" s="622"/>
      <c r="H25" s="344">
        <f>+'[7]Balance Sheet (pg 1)'!$D$24</f>
        <v>364716</v>
      </c>
      <c r="I25" s="629"/>
    </row>
    <row r="26" spans="1:9" ht="15">
      <c r="A26" s="14">
        <v>14</v>
      </c>
      <c r="B26" s="631" t="s">
        <v>155</v>
      </c>
      <c r="C26" s="478"/>
      <c r="D26" s="479"/>
      <c r="E26" s="487">
        <f>-'[1]TB03-31-04(Final)'!G256</f>
        <v>294617.31</v>
      </c>
      <c r="F26" s="478"/>
      <c r="G26" s="622"/>
      <c r="H26" s="344">
        <f>+'[7]Balance Sheet (pg 1)'!$D$23</f>
        <v>965550.22</v>
      </c>
      <c r="I26" s="629"/>
    </row>
    <row r="27" spans="1:9" ht="15">
      <c r="A27" s="14">
        <v>27</v>
      </c>
      <c r="B27" s="631" t="s">
        <v>437</v>
      </c>
      <c r="C27" s="478"/>
      <c r="D27" s="479"/>
      <c r="E27" s="487">
        <f>-'[1]TB03-31-04(Final)'!G258</f>
        <v>1290906</v>
      </c>
      <c r="F27" s="478"/>
      <c r="G27" s="622"/>
      <c r="H27" s="344">
        <f>+'[7]Balance Sheet (pg 1)'!$D$22</f>
        <v>618846.84</v>
      </c>
      <c r="I27" s="629"/>
    </row>
    <row r="28" spans="1:9" ht="15">
      <c r="A28" s="14">
        <v>27</v>
      </c>
      <c r="B28" s="631" t="s">
        <v>438</v>
      </c>
      <c r="C28" s="478"/>
      <c r="D28" s="479"/>
      <c r="E28" s="486">
        <f>-'[1]TB03-31-04(Final)'!G260</f>
        <v>505030.11</v>
      </c>
      <c r="F28" s="478"/>
      <c r="G28" s="622"/>
      <c r="H28" s="344">
        <v>0</v>
      </c>
      <c r="I28" s="629"/>
    </row>
    <row r="29" spans="2:9" ht="14.25">
      <c r="B29" s="631"/>
      <c r="C29" s="632"/>
      <c r="D29" s="478"/>
      <c r="E29" s="478"/>
      <c r="F29" s="487"/>
      <c r="G29" s="622"/>
      <c r="H29" s="344"/>
      <c r="I29" s="629"/>
    </row>
    <row r="30" spans="2:9" ht="15">
      <c r="B30" s="634" t="s">
        <v>156</v>
      </c>
      <c r="C30" s="478"/>
      <c r="D30" s="478"/>
      <c r="E30" s="478"/>
      <c r="F30" s="488">
        <f>SUM(E20:E28)</f>
        <v>2925382.2399999998</v>
      </c>
      <c r="G30" s="622"/>
      <c r="H30" s="344"/>
      <c r="I30" s="633">
        <f>SUM(H25:H28)</f>
        <v>1949113.06</v>
      </c>
    </row>
    <row r="31" spans="2:9" ht="14.25">
      <c r="B31" s="627"/>
      <c r="C31" s="478"/>
      <c r="D31" s="478"/>
      <c r="E31" s="478"/>
      <c r="F31" s="478"/>
      <c r="G31" s="622"/>
      <c r="H31" s="344"/>
      <c r="I31" s="629"/>
    </row>
    <row r="32" spans="1:9" ht="15">
      <c r="A32" s="14">
        <v>23</v>
      </c>
      <c r="B32" s="630" t="s">
        <v>263</v>
      </c>
      <c r="C32" s="478"/>
      <c r="D32" s="478"/>
      <c r="E32" s="478"/>
      <c r="F32" s="478"/>
      <c r="G32" s="622"/>
      <c r="H32" s="344"/>
      <c r="I32" s="629"/>
    </row>
    <row r="33" spans="1:9" ht="15">
      <c r="A33" s="14">
        <v>9</v>
      </c>
      <c r="B33" s="631" t="s">
        <v>264</v>
      </c>
      <c r="C33" s="478"/>
      <c r="D33" s="479"/>
      <c r="E33" s="487">
        <f>-'[1]TB03-31-04(Final)'!G65</f>
        <v>11049613</v>
      </c>
      <c r="F33" s="478"/>
      <c r="G33" s="622"/>
      <c r="H33" s="344">
        <f>+'[7]Balance Sheet (pg 1)'!$D$31</f>
        <v>8776992</v>
      </c>
      <c r="I33" s="629"/>
    </row>
    <row r="34" spans="1:9" ht="15">
      <c r="A34" s="14">
        <v>114</v>
      </c>
      <c r="B34" s="631" t="s">
        <v>157</v>
      </c>
      <c r="C34" s="478"/>
      <c r="D34" s="479"/>
      <c r="E34" s="487">
        <f>-'[1]TB03-31-04(Final)'!G104</f>
        <v>6198399.7700000005</v>
      </c>
      <c r="F34" s="478"/>
      <c r="G34" s="622"/>
      <c r="H34" s="344">
        <f>+'[7]Balance Sheet (pg 1)'!$D$32</f>
        <v>5068927.600000001</v>
      </c>
      <c r="I34" s="629"/>
    </row>
    <row r="35" spans="1:9" ht="15">
      <c r="A35" s="14">
        <v>114</v>
      </c>
      <c r="B35" s="631" t="s">
        <v>158</v>
      </c>
      <c r="C35" s="478"/>
      <c r="D35" s="479"/>
      <c r="E35" s="487">
        <f>-'[1]TB03-31-04(Final)'!G121</f>
        <v>1364184.0999999999</v>
      </c>
      <c r="F35" s="478"/>
      <c r="G35" s="622"/>
      <c r="H35" s="344">
        <f>+'[7]Balance Sheet (pg 1)'!$D$33</f>
        <v>1302472.2</v>
      </c>
      <c r="I35" s="629"/>
    </row>
    <row r="36" spans="1:9" ht="15">
      <c r="A36" s="14">
        <v>114</v>
      </c>
      <c r="B36" s="631" t="s">
        <v>159</v>
      </c>
      <c r="C36" s="478"/>
      <c r="D36" s="479"/>
      <c r="E36" s="487">
        <f>-'[1]TB03-31-04(Final)'!G159</f>
        <v>524501</v>
      </c>
      <c r="F36" s="478"/>
      <c r="G36" s="622"/>
      <c r="H36" s="344">
        <f>+'[7]Balance Sheet (pg 1)'!$D$34</f>
        <v>394965.17999999993</v>
      </c>
      <c r="I36" s="629"/>
    </row>
    <row r="37" spans="1:9" ht="15">
      <c r="A37" s="14">
        <v>114</v>
      </c>
      <c r="B37" s="631" t="s">
        <v>160</v>
      </c>
      <c r="C37" s="479"/>
      <c r="D37" s="479"/>
      <c r="E37" s="487">
        <f>-'[1]TB03-31-04(Final)'!G193</f>
        <v>226567.97999999998</v>
      </c>
      <c r="F37" s="478"/>
      <c r="G37" s="622"/>
      <c r="H37" s="344">
        <f>+'[7]Balance Sheet (pg 1)'!$D$35</f>
        <v>127127.4</v>
      </c>
      <c r="I37" s="629"/>
    </row>
    <row r="38" spans="1:9" ht="15">
      <c r="A38" s="14">
        <v>5</v>
      </c>
      <c r="B38" s="631" t="s">
        <v>422</v>
      </c>
      <c r="C38" s="478"/>
      <c r="D38" s="479"/>
      <c r="E38" s="522">
        <f>-'[1]TB03-31-04(Final)'!G217</f>
        <v>330321.9</v>
      </c>
      <c r="F38" s="478"/>
      <c r="G38" s="622"/>
      <c r="H38" s="610">
        <f>+'[7]Balance Sheet (pg 1)'!$D$36-H27</f>
        <v>-293990.12999999995</v>
      </c>
      <c r="I38" s="629"/>
    </row>
    <row r="39" spans="2:9" ht="15" customHeight="1">
      <c r="B39" s="631"/>
      <c r="C39" s="478"/>
      <c r="D39" s="478"/>
      <c r="E39" s="487"/>
      <c r="F39" s="478"/>
      <c r="G39" s="622"/>
      <c r="H39" s="344"/>
      <c r="I39" s="629"/>
    </row>
    <row r="40" spans="2:9" ht="15" customHeight="1">
      <c r="B40" s="634" t="s">
        <v>381</v>
      </c>
      <c r="C40" s="478"/>
      <c r="D40" s="478"/>
      <c r="E40" s="479"/>
      <c r="F40" s="488">
        <f>SUM(E33:E38)</f>
        <v>19693587.75</v>
      </c>
      <c r="G40" s="622"/>
      <c r="H40" s="344"/>
      <c r="I40" s="633">
        <f>SUM(H33:H39)</f>
        <v>15376494.25</v>
      </c>
    </row>
    <row r="41" spans="2:9" ht="13.5" customHeight="1">
      <c r="B41" s="634"/>
      <c r="C41" s="478"/>
      <c r="D41" s="478"/>
      <c r="E41" s="479"/>
      <c r="F41" s="481"/>
      <c r="G41" s="622"/>
      <c r="H41" s="344"/>
      <c r="I41" s="629"/>
    </row>
    <row r="42" spans="2:9" ht="13.5" customHeight="1">
      <c r="B42" s="626" t="s">
        <v>266</v>
      </c>
      <c r="C42" s="478"/>
      <c r="D42" s="478"/>
      <c r="E42" s="479"/>
      <c r="F42" s="489">
        <f>F40+F30</f>
        <v>22618969.99</v>
      </c>
      <c r="G42" s="622"/>
      <c r="H42" s="344"/>
      <c r="I42" s="635">
        <f>I40+I30</f>
        <v>17325607.31</v>
      </c>
    </row>
    <row r="43" spans="2:9" ht="15">
      <c r="B43" s="627"/>
      <c r="C43" s="478"/>
      <c r="D43" s="478"/>
      <c r="E43" s="479"/>
      <c r="F43" s="478"/>
      <c r="G43" s="622"/>
      <c r="H43" s="344"/>
      <c r="I43" s="629"/>
    </row>
    <row r="44" spans="2:9" ht="15">
      <c r="B44" s="630" t="s">
        <v>267</v>
      </c>
      <c r="C44" s="478"/>
      <c r="D44" s="478"/>
      <c r="E44" s="479"/>
      <c r="F44" s="478"/>
      <c r="G44" s="622"/>
      <c r="H44" s="344"/>
      <c r="I44" s="629"/>
    </row>
    <row r="45" spans="2:9" ht="15">
      <c r="B45" s="631" t="s">
        <v>136</v>
      </c>
      <c r="C45" s="478"/>
      <c r="D45" s="478"/>
      <c r="E45" s="479"/>
      <c r="F45" s="488" t="e">
        <f>+F17-F42</f>
        <v>#REF!</v>
      </c>
      <c r="G45" s="622"/>
      <c r="H45" s="344"/>
      <c r="I45" s="633">
        <f>+'[7]Balance Sheet (pg 1)'!$E$44</f>
        <v>-8375390.010000002</v>
      </c>
    </row>
    <row r="46" spans="2:9" ht="15">
      <c r="B46" s="627"/>
      <c r="C46" s="479"/>
      <c r="D46" s="479"/>
      <c r="E46" s="479"/>
      <c r="F46" s="478"/>
      <c r="G46" s="622"/>
      <c r="H46" s="344"/>
      <c r="I46" s="629"/>
    </row>
    <row r="47" spans="2:9" ht="15.75" thickBot="1">
      <c r="B47" s="636" t="s">
        <v>268</v>
      </c>
      <c r="C47" s="637"/>
      <c r="D47" s="637"/>
      <c r="E47" s="637"/>
      <c r="F47" s="482" t="e">
        <f>F42+F45</f>
        <v>#REF!</v>
      </c>
      <c r="G47" s="638"/>
      <c r="H47" s="610"/>
      <c r="I47" s="639">
        <f>I42+I45</f>
        <v>8950217.299999997</v>
      </c>
    </row>
    <row r="48" spans="2:7" ht="15" thickTop="1">
      <c r="B48" s="15"/>
      <c r="C48" s="474"/>
      <c r="D48" s="474"/>
      <c r="E48" s="474"/>
      <c r="F48" s="474"/>
      <c r="G48" s="13"/>
    </row>
    <row r="49" spans="2:7" ht="14.25">
      <c r="B49" s="15"/>
      <c r="F49" s="474"/>
      <c r="G49" s="13"/>
    </row>
  </sheetData>
  <mergeCells count="6">
    <mergeCell ref="H5:I5"/>
    <mergeCell ref="E5:F5"/>
    <mergeCell ref="B1:I1"/>
    <mergeCell ref="B3:I3"/>
    <mergeCell ref="B4:I4"/>
    <mergeCell ref="B2:F2"/>
  </mergeCells>
  <printOptions horizontalCentered="1"/>
  <pageMargins left="0.25" right="0.25" top="0.52" bottom="0.75" header="0.5" footer="0.5"/>
  <pageSetup fitToHeight="1" fitToWidth="1" horizontalDpi="300" verticalDpi="300" orientation="landscape" scale="72" r:id="rId2"/>
  <headerFooter alignWithMargins="0">
    <oddFooter>&amp;LZ:\Hicksp\Excel\2002\&amp;F
&amp;CPage &amp;P&amp;R&amp;A</oddFooter>
  </headerFooter>
  <drawing r:id="rId1"/>
</worksheet>
</file>

<file path=xl/worksheets/sheet3.xml><?xml version="1.0" encoding="utf-8"?>
<worksheet xmlns="http://schemas.openxmlformats.org/spreadsheetml/2006/main" xmlns:r="http://schemas.openxmlformats.org/officeDocument/2006/relationships">
  <dimension ref="A1:T82"/>
  <sheetViews>
    <sheetView workbookViewId="0" topLeftCell="A1">
      <selection activeCell="A4" sqref="A4"/>
    </sheetView>
  </sheetViews>
  <sheetFormatPr defaultColWidth="9.140625" defaultRowHeight="12.75"/>
  <cols>
    <col min="1" max="1" width="3.8515625" style="0" customWidth="1"/>
    <col min="2" max="2" width="36.8515625" style="0" customWidth="1"/>
    <col min="3" max="3" width="14.421875" style="364" hidden="1" customWidth="1"/>
    <col min="4" max="4" width="14.140625" style="0" hidden="1" customWidth="1"/>
    <col min="5" max="5" width="13.57421875" style="0" hidden="1" customWidth="1"/>
    <col min="6" max="6" width="14.7109375" style="661" customWidth="1"/>
    <col min="7" max="7" width="11.7109375" style="0" hidden="1" customWidth="1"/>
    <col min="8" max="8" width="12.57421875" style="0" hidden="1" customWidth="1"/>
    <col min="9" max="9" width="12.28125" style="0" hidden="1" customWidth="1"/>
    <col min="10" max="10" width="14.00390625" style="690" hidden="1" customWidth="1"/>
    <col min="11" max="11" width="15.00390625" style="690" hidden="1" customWidth="1"/>
    <col min="12" max="12" width="13.8515625" style="691" customWidth="1"/>
    <col min="13" max="15" width="9.140625" style="0" hidden="1" customWidth="1"/>
    <col min="16" max="16" width="14.28125" style="0" hidden="1" customWidth="1"/>
    <col min="17" max="17" width="12.28125" style="0" hidden="1" customWidth="1"/>
    <col min="18" max="18" width="13.140625" style="0" customWidth="1"/>
    <col min="19" max="19" width="10.57421875" style="706" customWidth="1"/>
    <col min="20" max="20" width="35.7109375" style="0" customWidth="1"/>
  </cols>
  <sheetData>
    <row r="1" spans="1:20" s="50" customFormat="1" ht="22.5" customHeight="1">
      <c r="A1" s="922" t="s">
        <v>251</v>
      </c>
      <c r="B1" s="922"/>
      <c r="C1" s="922"/>
      <c r="D1" s="922"/>
      <c r="E1" s="922"/>
      <c r="F1" s="922"/>
      <c r="G1" s="922"/>
      <c r="H1" s="922"/>
      <c r="I1" s="922"/>
      <c r="J1" s="922"/>
      <c r="K1" s="922"/>
      <c r="L1" s="922"/>
      <c r="M1" s="922"/>
      <c r="N1" s="922"/>
      <c r="O1" s="922"/>
      <c r="P1" s="922"/>
      <c r="Q1" s="922"/>
      <c r="R1" s="922"/>
      <c r="S1" s="922"/>
      <c r="T1" s="922"/>
    </row>
    <row r="2" ht="7.5" customHeight="1"/>
    <row r="3" spans="1:20" ht="19.5">
      <c r="A3" s="922" t="s">
        <v>117</v>
      </c>
      <c r="B3" s="922"/>
      <c r="C3" s="922"/>
      <c r="D3" s="922"/>
      <c r="E3" s="922"/>
      <c r="F3" s="922"/>
      <c r="G3" s="922"/>
      <c r="H3" s="922"/>
      <c r="I3" s="922"/>
      <c r="J3" s="922"/>
      <c r="K3" s="922"/>
      <c r="L3" s="922"/>
      <c r="M3" s="922"/>
      <c r="N3" s="922"/>
      <c r="O3" s="922"/>
      <c r="P3" s="922"/>
      <c r="Q3" s="922"/>
      <c r="R3" s="922"/>
      <c r="S3" s="922"/>
      <c r="T3" s="922"/>
    </row>
    <row r="4" spans="2:9" ht="8.25" customHeight="1">
      <c r="B4" s="651"/>
      <c r="C4" s="657"/>
      <c r="D4" s="651"/>
      <c r="E4" s="651"/>
      <c r="F4" s="657"/>
      <c r="G4" s="651"/>
      <c r="H4" s="651"/>
      <c r="I4" s="651"/>
    </row>
    <row r="5" spans="1:20" ht="19.5">
      <c r="A5" s="922" t="s">
        <v>5</v>
      </c>
      <c r="B5" s="922"/>
      <c r="C5" s="922"/>
      <c r="D5" s="922"/>
      <c r="E5" s="922"/>
      <c r="F5" s="922"/>
      <c r="G5" s="922"/>
      <c r="H5" s="922"/>
      <c r="I5" s="922"/>
      <c r="J5" s="922"/>
      <c r="K5" s="922"/>
      <c r="L5" s="922"/>
      <c r="M5" s="922"/>
      <c r="N5" s="922"/>
      <c r="O5" s="922"/>
      <c r="P5" s="922"/>
      <c r="Q5" s="922"/>
      <c r="R5" s="922"/>
      <c r="S5" s="922"/>
      <c r="T5" s="922"/>
    </row>
    <row r="6" spans="7:9" ht="12.75">
      <c r="G6" s="924" t="s">
        <v>232</v>
      </c>
      <c r="H6" s="924"/>
      <c r="I6" s="924"/>
    </row>
    <row r="7" spans="4:17" ht="12.75">
      <c r="D7" s="923" t="s">
        <v>134</v>
      </c>
      <c r="E7" s="923"/>
      <c r="F7" s="923"/>
      <c r="J7" s="923" t="s">
        <v>113</v>
      </c>
      <c r="K7" s="923"/>
      <c r="L7" s="923"/>
      <c r="M7" s="923"/>
      <c r="N7" s="923"/>
      <c r="O7" s="923"/>
      <c r="P7" s="923"/>
      <c r="Q7" s="923"/>
    </row>
    <row r="8" spans="4:18" ht="12.75">
      <c r="D8" s="670" t="s">
        <v>162</v>
      </c>
      <c r="E8" s="674" t="s">
        <v>163</v>
      </c>
      <c r="F8" s="923" t="s">
        <v>114</v>
      </c>
      <c r="G8" s="923"/>
      <c r="H8" s="923"/>
      <c r="I8" s="923"/>
      <c r="J8" s="923"/>
      <c r="K8" s="923"/>
      <c r="L8" s="923"/>
      <c r="P8" s="674"/>
      <c r="Q8" s="674"/>
      <c r="R8" s="674" t="s">
        <v>334</v>
      </c>
    </row>
    <row r="9" spans="2:20" ht="13.5" thickBot="1">
      <c r="B9" s="675" t="s">
        <v>7</v>
      </c>
      <c r="C9" s="665"/>
      <c r="D9" s="673" t="s">
        <v>161</v>
      </c>
      <c r="E9" s="675" t="s">
        <v>161</v>
      </c>
      <c r="F9" s="921" t="s">
        <v>2</v>
      </c>
      <c r="G9" s="921" t="s">
        <v>161</v>
      </c>
      <c r="H9" s="921" t="s">
        <v>161</v>
      </c>
      <c r="I9" s="921"/>
      <c r="J9" s="921" t="s">
        <v>161</v>
      </c>
      <c r="K9" s="921" t="s">
        <v>161</v>
      </c>
      <c r="L9" s="675" t="s">
        <v>3</v>
      </c>
      <c r="P9" s="675"/>
      <c r="Q9" s="662"/>
      <c r="R9" s="675" t="s">
        <v>67</v>
      </c>
      <c r="S9" s="701" t="s">
        <v>16</v>
      </c>
      <c r="T9" s="675" t="s">
        <v>17</v>
      </c>
    </row>
    <row r="10" spans="2:19" ht="12.75">
      <c r="B10" s="670"/>
      <c r="I10" s="360"/>
      <c r="S10" s="708"/>
    </row>
    <row r="11" spans="1:19" ht="12.75">
      <c r="A11" t="s">
        <v>318</v>
      </c>
      <c r="B11" s="670" t="s">
        <v>164</v>
      </c>
      <c r="C11" s="667"/>
      <c r="D11" s="668">
        <f>+'[1]TB03-31-04(Final)'!Z578+'[1]TB03-31-04(Final)'!E1004</f>
        <v>4438743.83</v>
      </c>
      <c r="E11" s="668">
        <v>0</v>
      </c>
      <c r="F11" s="751">
        <f>SUM(D11:E11)</f>
        <v>4438743.83</v>
      </c>
      <c r="G11" s="752"/>
      <c r="H11" s="752"/>
      <c r="I11" s="752">
        <f aca="true" t="shared" si="0" ref="I11:I28">SUM(G11:H11)</f>
        <v>0</v>
      </c>
      <c r="J11" s="753">
        <f>+'[6]TB09-30-02(Final)'!$I$511+'[6]TB09-30-02(Final)'!$E$911</f>
        <v>3977400.389999999</v>
      </c>
      <c r="K11" s="753"/>
      <c r="L11" s="751">
        <f>+J11+K11</f>
        <v>3977400.389999999</v>
      </c>
      <c r="M11" s="754"/>
      <c r="N11" s="754"/>
      <c r="O11" s="754"/>
      <c r="P11" s="754"/>
      <c r="Q11" s="754">
        <f>SUM(J11:P11)</f>
        <v>7954800.779999998</v>
      </c>
      <c r="R11" s="733">
        <f>+F11-L11</f>
        <v>461343.4400000009</v>
      </c>
      <c r="S11" s="705">
        <f>R11/L11</f>
        <v>0.11599119896501066</v>
      </c>
    </row>
    <row r="12" spans="2:19" ht="12.75">
      <c r="B12" s="670"/>
      <c r="C12" s="667"/>
      <c r="D12" s="668"/>
      <c r="E12" s="668"/>
      <c r="F12" s="681"/>
      <c r="G12" s="682"/>
      <c r="H12" s="682"/>
      <c r="I12" s="683"/>
      <c r="L12" s="681"/>
      <c r="Q12" s="664"/>
      <c r="R12" s="670"/>
      <c r="S12" s="705"/>
    </row>
    <row r="13" spans="2:19" ht="12.75">
      <c r="B13" s="670" t="s">
        <v>115</v>
      </c>
      <c r="C13" s="667"/>
      <c r="D13" s="668"/>
      <c r="E13" s="668"/>
      <c r="F13" s="681"/>
      <c r="G13" s="682"/>
      <c r="H13" s="682"/>
      <c r="I13" s="683"/>
      <c r="L13" s="681"/>
      <c r="Q13" s="664"/>
      <c r="R13" s="670"/>
      <c r="S13" s="705"/>
    </row>
    <row r="14" spans="2:19" ht="12.75">
      <c r="B14" s="670"/>
      <c r="C14" s="668"/>
      <c r="D14" s="668"/>
      <c r="E14" s="668"/>
      <c r="F14" s="681"/>
      <c r="G14" s="682"/>
      <c r="H14" s="682"/>
      <c r="I14" s="683"/>
      <c r="L14" s="681"/>
      <c r="Q14" s="664">
        <f aca="true" t="shared" si="1" ref="Q14:Q54">SUM(J14:P14)</f>
        <v>0</v>
      </c>
      <c r="R14" s="670"/>
      <c r="S14" s="705"/>
    </row>
    <row r="15" spans="1:20" ht="12.75">
      <c r="A15" t="s">
        <v>319</v>
      </c>
      <c r="B15" s="670" t="s">
        <v>93</v>
      </c>
      <c r="C15" s="667"/>
      <c r="D15" s="668">
        <v>0</v>
      </c>
      <c r="E15" s="668">
        <f>+'[1]TB03-31-04(Final)'!E630</f>
        <v>521247.75000000006</v>
      </c>
      <c r="F15" s="681">
        <f>SUM(D15:E15)</f>
        <v>521247.75000000006</v>
      </c>
      <c r="G15" s="682"/>
      <c r="H15" s="682"/>
      <c r="I15" s="683">
        <f t="shared" si="0"/>
        <v>0</v>
      </c>
      <c r="K15" s="690">
        <f>+'[6]TB09-30-02(Final)'!$E$551</f>
        <v>404349.55000000005</v>
      </c>
      <c r="L15" s="681">
        <f aca="true" t="shared" si="2" ref="L15:L54">+J15+K15</f>
        <v>404349.55000000005</v>
      </c>
      <c r="Q15" s="664">
        <f t="shared" si="1"/>
        <v>808699.1000000001</v>
      </c>
      <c r="R15" s="670">
        <f aca="true" t="shared" si="3" ref="R15:R65">+F15-L15</f>
        <v>116898.20000000001</v>
      </c>
      <c r="S15" s="705">
        <f>R15/L15</f>
        <v>0.2891018427002083</v>
      </c>
      <c r="T15" t="s">
        <v>217</v>
      </c>
    </row>
    <row r="16" spans="2:19" ht="12.75">
      <c r="B16" s="670"/>
      <c r="C16" s="667"/>
      <c r="D16" s="668"/>
      <c r="E16" s="668"/>
      <c r="F16" s="681"/>
      <c r="G16" s="682"/>
      <c r="H16" s="682"/>
      <c r="I16" s="683"/>
      <c r="L16" s="681"/>
      <c r="Q16" s="664">
        <f t="shared" si="1"/>
        <v>0</v>
      </c>
      <c r="R16" s="670"/>
      <c r="S16" s="705"/>
    </row>
    <row r="17" spans="1:19" ht="12.75">
      <c r="A17" t="s">
        <v>320</v>
      </c>
      <c r="B17" s="670" t="s">
        <v>165</v>
      </c>
      <c r="C17" s="667"/>
      <c r="D17" s="668">
        <v>0</v>
      </c>
      <c r="E17" s="668">
        <v>0</v>
      </c>
      <c r="F17" s="681">
        <f>SUM(D17:E17)</f>
        <v>0</v>
      </c>
      <c r="G17" s="682"/>
      <c r="H17" s="682"/>
      <c r="I17" s="683">
        <f t="shared" si="0"/>
        <v>0</v>
      </c>
      <c r="L17" s="681">
        <f t="shared" si="2"/>
        <v>0</v>
      </c>
      <c r="Q17" s="664">
        <f t="shared" si="1"/>
        <v>0</v>
      </c>
      <c r="R17" s="670">
        <f t="shared" si="3"/>
        <v>0</v>
      </c>
      <c r="S17" s="705"/>
    </row>
    <row r="18" spans="2:19" ht="12.75">
      <c r="B18" s="670"/>
      <c r="C18" s="667"/>
      <c r="D18" s="668"/>
      <c r="E18" s="668"/>
      <c r="F18" s="681"/>
      <c r="G18" s="682"/>
      <c r="H18" s="682"/>
      <c r="I18" s="683"/>
      <c r="L18" s="681"/>
      <c r="Q18" s="664">
        <f t="shared" si="1"/>
        <v>0</v>
      </c>
      <c r="R18" s="670"/>
      <c r="S18" s="705"/>
    </row>
    <row r="19" spans="1:19" ht="12.75">
      <c r="A19" t="s">
        <v>321</v>
      </c>
      <c r="B19" s="670" t="s">
        <v>166</v>
      </c>
      <c r="C19" s="667"/>
      <c r="D19" s="668"/>
      <c r="E19" s="668">
        <f>+'[1]TB03-31-04(Final)'!E639</f>
        <v>3506.25</v>
      </c>
      <c r="F19" s="681">
        <f>SUM(D19:E19)</f>
        <v>3506.25</v>
      </c>
      <c r="G19" s="682"/>
      <c r="H19" s="682"/>
      <c r="I19" s="683">
        <f t="shared" si="0"/>
        <v>0</v>
      </c>
      <c r="K19" s="690">
        <f>+'[6]TB09-30-02(Final)'!$E$559</f>
        <v>4125</v>
      </c>
      <c r="L19" s="681">
        <f t="shared" si="2"/>
        <v>4125</v>
      </c>
      <c r="Q19" s="664">
        <f t="shared" si="1"/>
        <v>8250</v>
      </c>
      <c r="R19" s="670">
        <f t="shared" si="3"/>
        <v>-618.75</v>
      </c>
      <c r="S19" s="705">
        <f>R19/L19</f>
        <v>-0.15</v>
      </c>
    </row>
    <row r="21" spans="1:20" ht="12.75">
      <c r="A21" t="s">
        <v>322</v>
      </c>
      <c r="B21" s="670" t="s">
        <v>119</v>
      </c>
      <c r="C21" s="667"/>
      <c r="D21" s="668">
        <v>0</v>
      </c>
      <c r="E21" s="668">
        <v>0</v>
      </c>
      <c r="F21" s="681">
        <f>SUM(D21:E21)</f>
        <v>0</v>
      </c>
      <c r="G21" s="682"/>
      <c r="H21" s="682"/>
      <c r="I21" s="683"/>
      <c r="K21" s="690">
        <f>+'[6]TB09-30-02(Final)'!$E$555</f>
        <v>14250</v>
      </c>
      <c r="L21" s="681">
        <f>+J21+K21</f>
        <v>14250</v>
      </c>
      <c r="Q21" s="664">
        <f>SUM(J21:P21)</f>
        <v>28500</v>
      </c>
      <c r="R21" s="670">
        <f>+F21-L21</f>
        <v>-14250</v>
      </c>
      <c r="S21" s="705">
        <f>R21/L21</f>
        <v>-1</v>
      </c>
      <c r="T21" t="s">
        <v>118</v>
      </c>
    </row>
    <row r="22" spans="2:19" ht="12.75">
      <c r="B22" s="670" t="s">
        <v>120</v>
      </c>
      <c r="C22" s="667"/>
      <c r="D22" s="668"/>
      <c r="E22" s="668"/>
      <c r="F22" s="681">
        <f>SUM(D23:E23)</f>
        <v>93073.73</v>
      </c>
      <c r="G22" s="682"/>
      <c r="H22" s="682"/>
      <c r="I22" s="683">
        <f>SUM(G22:H22)</f>
        <v>0</v>
      </c>
      <c r="K22" s="690">
        <f>'[6]TB09-30-02(Final)'!$E$565</f>
        <v>72119.22</v>
      </c>
      <c r="L22" s="681">
        <f>+J22+K22</f>
        <v>72119.22</v>
      </c>
      <c r="Q22" s="664">
        <f>SUM(J22:P22)</f>
        <v>144238.44</v>
      </c>
      <c r="R22" s="670">
        <f>+F22-L22</f>
        <v>20954.509999999995</v>
      </c>
      <c r="S22" s="705">
        <f>R22/L22</f>
        <v>0.2905537525225591</v>
      </c>
    </row>
    <row r="23" spans="3:5" ht="12.75">
      <c r="C23" s="667"/>
      <c r="D23" s="668">
        <f>+'[1]TB03-31-04(Final)'!D633</f>
        <v>104.64</v>
      </c>
      <c r="E23" s="668">
        <f>+'[1]TB03-31-04(Final)'!E647</f>
        <v>92969.09</v>
      </c>
    </row>
    <row r="24" spans="2:19" ht="12.75">
      <c r="B24" s="670"/>
      <c r="C24" s="667"/>
      <c r="D24" s="668"/>
      <c r="E24" s="668"/>
      <c r="F24" s="681"/>
      <c r="G24" s="682"/>
      <c r="H24" s="682"/>
      <c r="I24" s="683">
        <f t="shared" si="0"/>
        <v>0</v>
      </c>
      <c r="L24" s="681"/>
      <c r="Q24" s="664">
        <f t="shared" si="1"/>
        <v>0</v>
      </c>
      <c r="R24" s="670"/>
      <c r="S24" s="705"/>
    </row>
    <row r="25" spans="1:20" ht="12.75">
      <c r="A25" t="s">
        <v>323</v>
      </c>
      <c r="B25" s="670" t="s">
        <v>23</v>
      </c>
      <c r="C25" s="667">
        <v>542.61</v>
      </c>
      <c r="D25" s="668">
        <f>+'[1]TB03-31-04(Final)'!Z765</f>
        <v>642.87</v>
      </c>
      <c r="E25" s="668">
        <f>+'[1]TB03-31-04(Final)'!Z768</f>
        <v>4352.13</v>
      </c>
      <c r="F25" s="681">
        <f>SUM(D25:E25)</f>
        <v>4995</v>
      </c>
      <c r="G25" s="682"/>
      <c r="H25" s="682"/>
      <c r="I25" s="683">
        <f t="shared" si="0"/>
        <v>0</v>
      </c>
      <c r="J25" s="692">
        <v>-9625.77</v>
      </c>
      <c r="K25" s="690">
        <f>+'[6]TB09-30-02(Final)'!$E$678-J25</f>
        <v>-67442.04</v>
      </c>
      <c r="L25" s="681">
        <f t="shared" si="2"/>
        <v>-77067.81</v>
      </c>
      <c r="Q25" s="664">
        <f t="shared" si="1"/>
        <v>-154135.62</v>
      </c>
      <c r="R25" s="670">
        <f t="shared" si="3"/>
        <v>82062.81</v>
      </c>
      <c r="S25" s="705">
        <f>R25/L25</f>
        <v>-1.0648130522977104</v>
      </c>
      <c r="T25" t="s">
        <v>128</v>
      </c>
    </row>
    <row r="26" spans="2:19" ht="12.75">
      <c r="B26" s="670"/>
      <c r="C26" s="667"/>
      <c r="D26" s="668"/>
      <c r="E26" s="668"/>
      <c r="F26" s="681"/>
      <c r="G26" s="682"/>
      <c r="H26" s="682"/>
      <c r="I26" s="683">
        <f t="shared" si="0"/>
        <v>0</v>
      </c>
      <c r="J26" s="692"/>
      <c r="L26" s="681">
        <f t="shared" si="2"/>
        <v>0</v>
      </c>
      <c r="Q26" s="664">
        <f t="shared" si="1"/>
        <v>0</v>
      </c>
      <c r="R26" s="670">
        <f t="shared" si="3"/>
        <v>0</v>
      </c>
      <c r="S26" s="705"/>
    </row>
    <row r="27" spans="1:19" ht="12.75">
      <c r="A27" t="s">
        <v>324</v>
      </c>
      <c r="B27" s="670" t="s">
        <v>167</v>
      </c>
      <c r="C27" s="667"/>
      <c r="D27" s="668"/>
      <c r="E27" s="668"/>
      <c r="F27" s="681">
        <f>SUM(D27:E27)</f>
        <v>0</v>
      </c>
      <c r="G27" s="682"/>
      <c r="H27" s="682"/>
      <c r="I27" s="683">
        <f t="shared" si="0"/>
        <v>0</v>
      </c>
      <c r="J27" s="692"/>
      <c r="L27" s="681">
        <f t="shared" si="2"/>
        <v>0</v>
      </c>
      <c r="Q27" s="664">
        <f t="shared" si="1"/>
        <v>0</v>
      </c>
      <c r="R27" s="670">
        <f t="shared" si="3"/>
        <v>0</v>
      </c>
      <c r="S27" s="705"/>
    </row>
    <row r="28" spans="2:19" ht="12.75">
      <c r="B28" s="668" t="s">
        <v>168</v>
      </c>
      <c r="C28" s="667">
        <v>52540.85</v>
      </c>
      <c r="D28" s="668">
        <f>+'[1]TB03-31-04(Final)'!D654</f>
        <v>64199.27</v>
      </c>
      <c r="E28" s="668">
        <f>+'[1]TB03-31-04(Final)'!E657-D28</f>
        <v>442443.3300000001</v>
      </c>
      <c r="F28" s="681">
        <f>SUM(D28:E28)</f>
        <v>506642.6000000001</v>
      </c>
      <c r="G28" s="682"/>
      <c r="H28" s="682"/>
      <c r="I28" s="683">
        <f t="shared" si="0"/>
        <v>0</v>
      </c>
      <c r="J28" s="692">
        <f>+'[6]TB09-30-02(Final)'!$D$572</f>
        <v>60915.6</v>
      </c>
      <c r="K28" s="690">
        <f>+'[6]TB09-30-02(Final)'!$E$575-J28</f>
        <v>433011.91</v>
      </c>
      <c r="L28" s="681">
        <f t="shared" si="2"/>
        <v>493927.50999999995</v>
      </c>
      <c r="Q28" s="664">
        <f t="shared" si="1"/>
        <v>987855.0199999999</v>
      </c>
      <c r="R28" s="670">
        <f t="shared" si="3"/>
        <v>12715.090000000142</v>
      </c>
      <c r="S28" s="705">
        <f>R28/L28</f>
        <v>0.025742826108228197</v>
      </c>
    </row>
    <row r="29" spans="2:19" ht="12.75">
      <c r="B29" s="668" t="s">
        <v>169</v>
      </c>
      <c r="C29" s="667">
        <f>3911.93+556.52+147.7-0.79</f>
        <v>4615.36</v>
      </c>
      <c r="D29" s="668">
        <f>+'[1]TB03-31-04(Final)'!Z760</f>
        <v>6232.78</v>
      </c>
      <c r="E29" s="668">
        <f>+'[1]TB03-31-04(Final)'!Z761-D29</f>
        <v>43720.38000000001</v>
      </c>
      <c r="F29" s="681">
        <f>SUM(D29:E29)</f>
        <v>49953.16000000001</v>
      </c>
      <c r="G29" s="682"/>
      <c r="H29" s="682"/>
      <c r="I29" s="683"/>
      <c r="J29" s="692">
        <f>4560.4+633.08+166.63+5.08+7.99</f>
        <v>5373.179999999999</v>
      </c>
      <c r="K29" s="690">
        <f>SUM('[6]TB09-30-02(Final)'!$E$631:$E$670)-J29</f>
        <v>36787.85</v>
      </c>
      <c r="L29" s="681">
        <f t="shared" si="2"/>
        <v>42161.03</v>
      </c>
      <c r="Q29" s="664">
        <f t="shared" si="1"/>
        <v>84322.06</v>
      </c>
      <c r="R29" s="670">
        <f t="shared" si="3"/>
        <v>7792.130000000012</v>
      </c>
      <c r="S29" s="705">
        <f>R29/L29</f>
        <v>0.18481830258890763</v>
      </c>
    </row>
    <row r="30" spans="2:19" ht="12.75">
      <c r="B30" s="670"/>
      <c r="C30" s="667"/>
      <c r="D30" s="668"/>
      <c r="E30" s="668"/>
      <c r="F30" s="681">
        <f>SUM(D30:E30)</f>
        <v>0</v>
      </c>
      <c r="G30" s="682"/>
      <c r="H30" s="682"/>
      <c r="I30" s="683"/>
      <c r="J30" s="692"/>
      <c r="L30" s="681">
        <f t="shared" si="2"/>
        <v>0</v>
      </c>
      <c r="Q30" s="664">
        <f t="shared" si="1"/>
        <v>0</v>
      </c>
      <c r="R30" s="670">
        <f t="shared" si="3"/>
        <v>0</v>
      </c>
      <c r="S30" s="705"/>
    </row>
    <row r="31" spans="1:20" ht="12.75">
      <c r="A31" t="s">
        <v>325</v>
      </c>
      <c r="B31" s="670" t="s">
        <v>425</v>
      </c>
      <c r="C31" s="667">
        <f>248.53+79.86+13823.98+583+3163.07+9266.34</f>
        <v>27164.78</v>
      </c>
      <c r="D31" s="668">
        <f>+'[1]TB03-31-04(Final)'!Z720</f>
        <v>34486.11</v>
      </c>
      <c r="E31" s="668">
        <f>+'[1]TB03-31-04(Final)'!Z721-'[1]TB03-31-04(Final)'!Z720</f>
        <v>244292.7</v>
      </c>
      <c r="F31" s="681">
        <f>SUM(D31:E31)</f>
        <v>278778.81</v>
      </c>
      <c r="G31" s="682"/>
      <c r="H31" s="682"/>
      <c r="I31" s="683"/>
      <c r="J31" s="692">
        <f>253.57+92.43+12124.74+539.42+3593.13+2822.87</f>
        <v>19426.16</v>
      </c>
      <c r="K31" s="690">
        <f>SUM('[6]TB09-30-02(Final)'!$E$581:$E$630)-J31</f>
        <v>140199.27</v>
      </c>
      <c r="L31" s="681">
        <f t="shared" si="2"/>
        <v>159625.43</v>
      </c>
      <c r="Q31" s="664">
        <f t="shared" si="1"/>
        <v>319250.86</v>
      </c>
      <c r="R31" s="670">
        <f t="shared" si="3"/>
        <v>119153.38</v>
      </c>
      <c r="S31" s="705">
        <f>R31/L31</f>
        <v>0.7464561254431704</v>
      </c>
      <c r="T31" s="360">
        <v>137024.19</v>
      </c>
    </row>
    <row r="32" spans="2:20" ht="12.75">
      <c r="B32" s="668" t="s">
        <v>66</v>
      </c>
      <c r="C32" s="667"/>
      <c r="D32" s="668"/>
      <c r="E32" s="668"/>
      <c r="F32" s="681"/>
      <c r="G32" s="682"/>
      <c r="H32" s="682"/>
      <c r="I32" s="683"/>
      <c r="J32" s="692"/>
      <c r="L32" s="681">
        <f t="shared" si="2"/>
        <v>0</v>
      </c>
      <c r="Q32" s="664">
        <f t="shared" si="1"/>
        <v>0</v>
      </c>
      <c r="R32" s="670">
        <f t="shared" si="3"/>
        <v>0</v>
      </c>
      <c r="S32" s="705"/>
      <c r="T32" s="360">
        <v>22601.24</v>
      </c>
    </row>
    <row r="33" spans="2:20" ht="12.75">
      <c r="B33" s="668" t="s">
        <v>65</v>
      </c>
      <c r="C33" s="667"/>
      <c r="D33" s="668"/>
      <c r="E33" s="668"/>
      <c r="F33" s="681"/>
      <c r="G33" s="682"/>
      <c r="H33" s="682"/>
      <c r="I33" s="683"/>
      <c r="J33" s="692"/>
      <c r="L33" s="681">
        <f t="shared" si="2"/>
        <v>0</v>
      </c>
      <c r="Q33" s="664">
        <f t="shared" si="1"/>
        <v>0</v>
      </c>
      <c r="R33" s="670">
        <f t="shared" si="3"/>
        <v>0</v>
      </c>
      <c r="S33" s="705"/>
      <c r="T33" s="360">
        <v>0</v>
      </c>
    </row>
    <row r="34" spans="2:20" ht="12.75">
      <c r="B34" s="670"/>
      <c r="C34" s="667"/>
      <c r="D34" s="668"/>
      <c r="E34" s="668"/>
      <c r="F34" s="681"/>
      <c r="G34" s="682"/>
      <c r="H34" s="682"/>
      <c r="I34" s="683"/>
      <c r="J34" s="692"/>
      <c r="L34" s="681"/>
      <c r="Q34" s="664">
        <f t="shared" si="1"/>
        <v>0</v>
      </c>
      <c r="R34" s="670"/>
      <c r="S34" s="705"/>
      <c r="T34" t="s">
        <v>125</v>
      </c>
    </row>
    <row r="35" spans="1:20" ht="12.75">
      <c r="A35" t="s">
        <v>326</v>
      </c>
      <c r="B35" s="670" t="s">
        <v>143</v>
      </c>
      <c r="C35" s="667"/>
      <c r="D35" s="668">
        <f>+'[1]TB03-31-04(Final)'!Z963</f>
        <v>0</v>
      </c>
      <c r="E35" s="668">
        <f>+'[1]TB03-31-04(Final)'!E966</f>
        <v>0</v>
      </c>
      <c r="F35" s="681">
        <f aca="true" t="shared" si="4" ref="F35:F46">SUM(D35:E35)</f>
        <v>0</v>
      </c>
      <c r="G35" s="682"/>
      <c r="H35" s="682"/>
      <c r="I35" s="683"/>
      <c r="J35" s="692">
        <f>+'[6]TB09-30-02(Final)'!$D$872</f>
        <v>0</v>
      </c>
      <c r="K35" s="690">
        <f>+'[6]TB09-30-02(Final)'!$E$875-J35</f>
        <v>17941</v>
      </c>
      <c r="L35" s="681">
        <f t="shared" si="2"/>
        <v>17941</v>
      </c>
      <c r="Q35" s="664">
        <f t="shared" si="1"/>
        <v>35882</v>
      </c>
      <c r="R35" s="670">
        <f t="shared" si="3"/>
        <v>-17941</v>
      </c>
      <c r="S35" s="705">
        <f>R35/L35</f>
        <v>-1</v>
      </c>
      <c r="T35" t="s">
        <v>129</v>
      </c>
    </row>
    <row r="36" spans="2:19" ht="12.75">
      <c r="B36" s="670"/>
      <c r="C36" s="667"/>
      <c r="D36" s="668"/>
      <c r="E36" s="668"/>
      <c r="F36" s="681">
        <f t="shared" si="4"/>
        <v>0</v>
      </c>
      <c r="G36" s="682"/>
      <c r="H36" s="682"/>
      <c r="I36" s="683"/>
      <c r="J36" s="692"/>
      <c r="L36" s="681">
        <f t="shared" si="2"/>
        <v>0</v>
      </c>
      <c r="Q36" s="664">
        <f t="shared" si="1"/>
        <v>0</v>
      </c>
      <c r="R36" s="670">
        <f t="shared" si="3"/>
        <v>0</v>
      </c>
      <c r="S36" s="705"/>
    </row>
    <row r="37" spans="1:19" ht="12.75">
      <c r="A37" t="s">
        <v>327</v>
      </c>
      <c r="B37" s="670" t="s">
        <v>171</v>
      </c>
      <c r="C37" s="667"/>
      <c r="D37" s="668">
        <v>0</v>
      </c>
      <c r="E37" s="668">
        <v>700</v>
      </c>
      <c r="F37" s="681">
        <f t="shared" si="4"/>
        <v>700</v>
      </c>
      <c r="G37" s="682"/>
      <c r="H37" s="682"/>
      <c r="I37" s="683"/>
      <c r="J37" s="692">
        <v>0</v>
      </c>
      <c r="K37" s="690">
        <f>+'[6]TB09-30-02(Final)'!$E$708-J37</f>
        <v>1300</v>
      </c>
      <c r="L37" s="681">
        <f t="shared" si="2"/>
        <v>1300</v>
      </c>
      <c r="Q37" s="664">
        <f t="shared" si="1"/>
        <v>2600</v>
      </c>
      <c r="R37" s="670">
        <f t="shared" si="3"/>
        <v>-600</v>
      </c>
      <c r="S37" s="705">
        <f>R37/L37</f>
        <v>-0.46153846153846156</v>
      </c>
    </row>
    <row r="38" spans="2:19" ht="12.75">
      <c r="B38" s="670"/>
      <c r="C38" s="667"/>
      <c r="D38" s="668"/>
      <c r="E38" s="668"/>
      <c r="F38" s="681">
        <f t="shared" si="4"/>
        <v>0</v>
      </c>
      <c r="G38" s="682"/>
      <c r="H38" s="682"/>
      <c r="I38" s="683"/>
      <c r="J38" s="692"/>
      <c r="L38" s="681">
        <f t="shared" si="2"/>
        <v>0</v>
      </c>
      <c r="Q38" s="664">
        <f t="shared" si="1"/>
        <v>0</v>
      </c>
      <c r="R38" s="670">
        <f t="shared" si="3"/>
        <v>0</v>
      </c>
      <c r="S38" s="705"/>
    </row>
    <row r="39" spans="1:19" ht="12.75">
      <c r="A39" t="s">
        <v>328</v>
      </c>
      <c r="B39" s="670" t="s">
        <v>172</v>
      </c>
      <c r="C39" s="667">
        <v>1427.25</v>
      </c>
      <c r="D39" s="668">
        <f>+'[1]TB03-31-04(Final)'!Z955</f>
        <v>458.98</v>
      </c>
      <c r="E39" s="668">
        <f>+'[1]TB03-31-04(Final)'!Z958</f>
        <v>1732.87</v>
      </c>
      <c r="F39" s="681">
        <f t="shared" si="4"/>
        <v>2191.85</v>
      </c>
      <c r="G39" s="682"/>
      <c r="H39" s="682"/>
      <c r="I39" s="683"/>
      <c r="J39" s="692">
        <v>330.55</v>
      </c>
      <c r="K39" s="690">
        <f>SUM('[6]TB09-30-02(Final)'!$E$867)-J39</f>
        <v>3342.7299999999996</v>
      </c>
      <c r="L39" s="681">
        <f t="shared" si="2"/>
        <v>3673.2799999999997</v>
      </c>
      <c r="Q39" s="664">
        <f t="shared" si="1"/>
        <v>7346.5599999999995</v>
      </c>
      <c r="R39" s="670">
        <f t="shared" si="3"/>
        <v>-1481.4299999999998</v>
      </c>
      <c r="S39" s="705">
        <f>R39/L39</f>
        <v>-0.4032989589685512</v>
      </c>
    </row>
    <row r="40" spans="2:19" ht="12.75">
      <c r="B40" s="670"/>
      <c r="C40" s="667"/>
      <c r="D40" s="668"/>
      <c r="E40" s="668"/>
      <c r="F40" s="681">
        <f t="shared" si="4"/>
        <v>0</v>
      </c>
      <c r="G40" s="682"/>
      <c r="H40" s="682"/>
      <c r="I40" s="683"/>
      <c r="J40" s="692"/>
      <c r="L40" s="681">
        <f t="shared" si="2"/>
        <v>0</v>
      </c>
      <c r="Q40" s="664">
        <f t="shared" si="1"/>
        <v>0</v>
      </c>
      <c r="R40" s="670">
        <f t="shared" si="3"/>
        <v>0</v>
      </c>
      <c r="S40" s="705"/>
    </row>
    <row r="41" spans="1:19" ht="12.75">
      <c r="A41" t="s">
        <v>329</v>
      </c>
      <c r="B41" s="670" t="s">
        <v>173</v>
      </c>
      <c r="C41" s="667">
        <f>8755.56+916.17+869.2</f>
        <v>10540.93</v>
      </c>
      <c r="D41" s="668">
        <f>+'[1]TB03-31-04(Final)'!Z885+'[1]TB03-31-04(Final)'!Z893+'[1]TB03-31-04(Final)'!Z916</f>
        <v>10203.87</v>
      </c>
      <c r="E41" s="668">
        <f>+'[1]TB03-31-04(Final)'!Z896+'[1]TB03-31-04(Final)'!Z918-D41</f>
        <v>80439.4</v>
      </c>
      <c r="F41" s="681">
        <f t="shared" si="4"/>
        <v>90643.26999999999</v>
      </c>
      <c r="G41" s="682"/>
      <c r="H41" s="682"/>
      <c r="I41" s="683"/>
      <c r="J41" s="692">
        <f>8555.67+1016.99+833.91</f>
        <v>10406.57</v>
      </c>
      <c r="K41" s="690">
        <f>SUM('[6]TB09-30-02(Final)'!$E$798:$E$806)+'[6]TB09-30-02(Final)'!$E$828-J41</f>
        <v>82521.57999999999</v>
      </c>
      <c r="L41" s="681">
        <f t="shared" si="2"/>
        <v>92928.15</v>
      </c>
      <c r="Q41" s="664">
        <f t="shared" si="1"/>
        <v>185856.3</v>
      </c>
      <c r="R41" s="670">
        <f t="shared" si="3"/>
        <v>-2284.8800000000047</v>
      </c>
      <c r="S41" s="705">
        <f>R41/L41</f>
        <v>-0.024587598052904367</v>
      </c>
    </row>
    <row r="42" spans="2:19" ht="12.75">
      <c r="B42" s="670"/>
      <c r="C42" s="667"/>
      <c r="D42" s="668"/>
      <c r="E42" s="668"/>
      <c r="F42" s="681">
        <f t="shared" si="4"/>
        <v>0</v>
      </c>
      <c r="G42" s="682"/>
      <c r="H42" s="682"/>
      <c r="I42" s="683"/>
      <c r="J42" s="692"/>
      <c r="L42" s="681">
        <f t="shared" si="2"/>
        <v>0</v>
      </c>
      <c r="Q42" s="664">
        <f t="shared" si="1"/>
        <v>0</v>
      </c>
      <c r="R42" s="670">
        <f t="shared" si="3"/>
        <v>0</v>
      </c>
      <c r="S42" s="705"/>
    </row>
    <row r="43" spans="1:19" ht="12.75">
      <c r="A43" t="s">
        <v>330</v>
      </c>
      <c r="B43" s="670" t="s">
        <v>182</v>
      </c>
      <c r="C43" s="667">
        <v>1404</v>
      </c>
      <c r="D43" s="668">
        <f>+'[1]TB03-31-04(Final)'!Z879</f>
        <v>1666.56</v>
      </c>
      <c r="E43" s="668">
        <f>+'[1]TB03-31-04(Final)'!Z880-D43</f>
        <v>13585.060000000001</v>
      </c>
      <c r="F43" s="681">
        <f t="shared" si="4"/>
        <v>15251.62</v>
      </c>
      <c r="G43" s="682"/>
      <c r="H43" s="682"/>
      <c r="I43" s="683"/>
      <c r="J43" s="692">
        <v>1418.66</v>
      </c>
      <c r="K43" s="690">
        <f>SUM('[6]TB09-30-02(Final)'!$E$782)+'[6]TB09-30-02(Final)'!$D$789-J43</f>
        <v>11079.07</v>
      </c>
      <c r="L43" s="681">
        <f t="shared" si="2"/>
        <v>12497.73</v>
      </c>
      <c r="Q43" s="664">
        <f t="shared" si="1"/>
        <v>24995.46</v>
      </c>
      <c r="R43" s="670">
        <f t="shared" si="3"/>
        <v>2753.8900000000012</v>
      </c>
      <c r="S43" s="705">
        <f>R43/L43</f>
        <v>0.2203512157807859</v>
      </c>
    </row>
    <row r="44" spans="2:19" ht="12.75">
      <c r="B44" s="670"/>
      <c r="C44" s="667"/>
      <c r="D44" s="668"/>
      <c r="E44" s="668"/>
      <c r="F44" s="681">
        <f t="shared" si="4"/>
        <v>0</v>
      </c>
      <c r="G44" s="682"/>
      <c r="H44" s="682"/>
      <c r="I44" s="683"/>
      <c r="J44" s="692"/>
      <c r="L44" s="681">
        <f t="shared" si="2"/>
        <v>0</v>
      </c>
      <c r="Q44" s="664">
        <f t="shared" si="1"/>
        <v>0</v>
      </c>
      <c r="R44" s="670">
        <f t="shared" si="3"/>
        <v>0</v>
      </c>
      <c r="S44" s="705"/>
    </row>
    <row r="45" spans="1:19" ht="12.75">
      <c r="A45" t="s">
        <v>331</v>
      </c>
      <c r="B45" s="670" t="s">
        <v>22</v>
      </c>
      <c r="C45" s="667">
        <f>1424.49+806+206</f>
        <v>2436.49</v>
      </c>
      <c r="D45" s="668">
        <f>SUM(B46:B48)</f>
        <v>2435.74</v>
      </c>
      <c r="E45" s="668">
        <f>+'[1]TB03-31-04(Final)'!Z863-D45</f>
        <v>19064.65</v>
      </c>
      <c r="F45" s="681">
        <f t="shared" si="4"/>
        <v>21500.39</v>
      </c>
      <c r="G45" s="682"/>
      <c r="H45" s="682"/>
      <c r="I45" s="683"/>
      <c r="J45" s="692">
        <f>1843.4+1541.91+236.81</f>
        <v>3622.1200000000003</v>
      </c>
      <c r="K45" s="690">
        <f>SUM('[6]TB09-30-02(Final)'!$E$742:$E$773)-J45</f>
        <v>25378.04</v>
      </c>
      <c r="L45" s="681">
        <f t="shared" si="2"/>
        <v>29000.16</v>
      </c>
      <c r="Q45" s="664">
        <f t="shared" si="1"/>
        <v>58000.32</v>
      </c>
      <c r="R45" s="670">
        <f t="shared" si="3"/>
        <v>-7499.77</v>
      </c>
      <c r="S45" s="705">
        <f>R45/L45</f>
        <v>-0.2586113317995487</v>
      </c>
    </row>
    <row r="46" spans="2:19" ht="12.75" hidden="1">
      <c r="B46" s="670">
        <v>1424.49</v>
      </c>
      <c r="C46" s="667"/>
      <c r="D46" s="668"/>
      <c r="E46" s="668"/>
      <c r="F46" s="681">
        <f t="shared" si="4"/>
        <v>0</v>
      </c>
      <c r="G46" s="682"/>
      <c r="H46" s="682"/>
      <c r="I46" s="683"/>
      <c r="J46" s="692"/>
      <c r="L46" s="681">
        <f t="shared" si="2"/>
        <v>0</v>
      </c>
      <c r="Q46" s="664">
        <f t="shared" si="1"/>
        <v>0</v>
      </c>
      <c r="R46" s="670">
        <f t="shared" si="3"/>
        <v>0</v>
      </c>
      <c r="S46" s="705" t="e">
        <f>R46/L46</f>
        <v>#DIV/0!</v>
      </c>
    </row>
    <row r="47" spans="2:19" ht="12.75" hidden="1">
      <c r="B47" s="670">
        <v>805.55</v>
      </c>
      <c r="C47" s="667"/>
      <c r="D47" s="668"/>
      <c r="E47" s="668"/>
      <c r="F47" s="681"/>
      <c r="G47" s="682"/>
      <c r="H47" s="682"/>
      <c r="I47" s="683"/>
      <c r="J47" s="692"/>
      <c r="L47" s="681">
        <f t="shared" si="2"/>
        <v>0</v>
      </c>
      <c r="Q47" s="664">
        <f t="shared" si="1"/>
        <v>0</v>
      </c>
      <c r="R47" s="670">
        <f t="shared" si="3"/>
        <v>0</v>
      </c>
      <c r="S47" s="705" t="e">
        <f>R47/L47</f>
        <v>#DIV/0!</v>
      </c>
    </row>
    <row r="48" spans="2:19" ht="12.75" hidden="1">
      <c r="B48" s="670">
        <v>205.7</v>
      </c>
      <c r="C48" s="667"/>
      <c r="D48" s="668"/>
      <c r="E48" s="668"/>
      <c r="F48" s="681"/>
      <c r="G48" s="682"/>
      <c r="H48" s="682"/>
      <c r="I48" s="683"/>
      <c r="J48" s="692"/>
      <c r="L48" s="681">
        <f t="shared" si="2"/>
        <v>0</v>
      </c>
      <c r="Q48" s="664">
        <f t="shared" si="1"/>
        <v>0</v>
      </c>
      <c r="R48" s="670">
        <f t="shared" si="3"/>
        <v>0</v>
      </c>
      <c r="S48" s="705" t="e">
        <f>R48/L48</f>
        <v>#DIV/0!</v>
      </c>
    </row>
    <row r="49" spans="2:19" ht="12.75">
      <c r="B49" s="670"/>
      <c r="C49" s="667"/>
      <c r="D49" s="668"/>
      <c r="E49" s="668"/>
      <c r="F49" s="681"/>
      <c r="G49" s="682"/>
      <c r="H49" s="682"/>
      <c r="I49" s="683"/>
      <c r="J49" s="692"/>
      <c r="L49" s="681">
        <f t="shared" si="2"/>
        <v>0</v>
      </c>
      <c r="Q49" s="664">
        <f t="shared" si="1"/>
        <v>0</v>
      </c>
      <c r="R49" s="670">
        <f t="shared" si="3"/>
        <v>0</v>
      </c>
      <c r="S49" s="705"/>
    </row>
    <row r="50" spans="1:19" ht="12.75">
      <c r="A50" t="s">
        <v>332</v>
      </c>
      <c r="B50" s="670" t="s">
        <v>184</v>
      </c>
      <c r="C50" s="667">
        <f>801.69+675.35</f>
        <v>1477.04</v>
      </c>
      <c r="D50" s="668">
        <f>+'[1]TB03-31-04(Final)'!Z941</f>
        <v>2273.06</v>
      </c>
      <c r="E50" s="668">
        <f>+'[1]TB03-31-04(Final)'!Z942-D50</f>
        <v>23542.219999999998</v>
      </c>
      <c r="F50" s="681">
        <f>SUM(D50:E50)</f>
        <v>25815.28</v>
      </c>
      <c r="G50" s="682"/>
      <c r="H50" s="682"/>
      <c r="I50" s="683"/>
      <c r="J50" s="692">
        <f>263.34+1215.67+5.48</f>
        <v>1484.49</v>
      </c>
      <c r="K50" s="690">
        <f>SUM('[6]TB09-30-02(Final)'!$E$829:$E$860)-J50</f>
        <v>25704.69</v>
      </c>
      <c r="L50" s="681">
        <f t="shared" si="2"/>
        <v>27189.18</v>
      </c>
      <c r="Q50" s="664">
        <f t="shared" si="1"/>
        <v>54378.36</v>
      </c>
      <c r="R50" s="670">
        <f t="shared" si="3"/>
        <v>-1373.9000000000015</v>
      </c>
      <c r="S50" s="705">
        <f>R50/L50</f>
        <v>-0.05053113039819522</v>
      </c>
    </row>
    <row r="51" spans="2:19" ht="12.75">
      <c r="B51" s="670"/>
      <c r="C51" s="667"/>
      <c r="D51" s="668"/>
      <c r="E51" s="668"/>
      <c r="F51" s="681"/>
      <c r="G51" s="682"/>
      <c r="H51" s="682"/>
      <c r="I51" s="683"/>
      <c r="J51" s="692"/>
      <c r="L51" s="681">
        <f t="shared" si="2"/>
        <v>0</v>
      </c>
      <c r="Q51" s="664">
        <f t="shared" si="1"/>
        <v>0</v>
      </c>
      <c r="R51" s="670">
        <f t="shared" si="3"/>
        <v>0</v>
      </c>
      <c r="S51" s="705"/>
    </row>
    <row r="52" spans="1:19" ht="12.75">
      <c r="A52" t="s">
        <v>333</v>
      </c>
      <c r="B52" s="670" t="s">
        <v>174</v>
      </c>
      <c r="C52" s="667">
        <f>4337.84+1156.22</f>
        <v>5494.06</v>
      </c>
      <c r="D52" s="668">
        <f>+'[1]TB03-31-04(Final)'!Z911</f>
        <v>4994.889999999999</v>
      </c>
      <c r="E52" s="668">
        <f>+'[1]TB03-31-04(Final)'!Z912-D52</f>
        <v>35138.3</v>
      </c>
      <c r="F52" s="681">
        <f>SUM(D52:E52)</f>
        <v>40133.19</v>
      </c>
      <c r="G52" s="682"/>
      <c r="H52" s="682"/>
      <c r="I52" s="683"/>
      <c r="J52" s="692">
        <f>3829.73+1090.47</f>
        <v>4920.2</v>
      </c>
      <c r="K52" s="690">
        <f>SUM('[6]TB09-30-02(Final)'!$E$814:$E$823)-J52</f>
        <v>42403.07000000001</v>
      </c>
      <c r="L52" s="681">
        <f t="shared" si="2"/>
        <v>47323.270000000004</v>
      </c>
      <c r="Q52" s="664">
        <f t="shared" si="1"/>
        <v>94646.54000000001</v>
      </c>
      <c r="R52" s="670">
        <f t="shared" si="3"/>
        <v>-7190.080000000002</v>
      </c>
      <c r="S52" s="705">
        <f>R52/L52</f>
        <v>-0.15193540091375768</v>
      </c>
    </row>
    <row r="53" spans="2:19" ht="12.75">
      <c r="B53" s="670"/>
      <c r="C53" s="667"/>
      <c r="D53" s="668"/>
      <c r="E53" s="668"/>
      <c r="F53" s="681"/>
      <c r="G53" s="682"/>
      <c r="H53" s="682"/>
      <c r="I53" s="683"/>
      <c r="J53" s="692"/>
      <c r="L53" s="681">
        <f t="shared" si="2"/>
        <v>0</v>
      </c>
      <c r="Q53" s="664">
        <f t="shared" si="1"/>
        <v>0</v>
      </c>
      <c r="R53" s="670">
        <f t="shared" si="3"/>
        <v>0</v>
      </c>
      <c r="S53" s="705"/>
    </row>
    <row r="54" spans="1:20" ht="12.75">
      <c r="A54" t="s">
        <v>105</v>
      </c>
      <c r="B54" s="670" t="s">
        <v>24</v>
      </c>
      <c r="C54" s="667">
        <v>767.76</v>
      </c>
      <c r="D54" s="668">
        <f>+'[1]TB03-31-04(Final)'!Z781</f>
        <v>399.46</v>
      </c>
      <c r="E54" s="668">
        <f>+'[1]TB03-31-04(Final)'!Z784-D54</f>
        <v>17859.89</v>
      </c>
      <c r="F54" s="681">
        <f>SUM(D54:E54)</f>
        <v>18259.35</v>
      </c>
      <c r="G54" s="682"/>
      <c r="H54" s="682"/>
      <c r="I54" s="683"/>
      <c r="J54" s="692">
        <f>936.75+468.71+149.88</f>
        <v>1555.3400000000001</v>
      </c>
      <c r="K54" s="690">
        <f>SUM('[6]TB09-30-02(Final)'!$E$686:$E$703)-J54</f>
        <v>10897.34</v>
      </c>
      <c r="L54" s="681">
        <f t="shared" si="2"/>
        <v>12452.68</v>
      </c>
      <c r="Q54" s="664">
        <f t="shared" si="1"/>
        <v>24905.36</v>
      </c>
      <c r="R54" s="670">
        <f t="shared" si="3"/>
        <v>5806.669999999998</v>
      </c>
      <c r="S54" s="705">
        <f>R54/L54</f>
        <v>0.4662988208160812</v>
      </c>
      <c r="T54" t="s">
        <v>130</v>
      </c>
    </row>
    <row r="55" spans="2:19" ht="12.75">
      <c r="B55" s="654"/>
      <c r="C55" s="667"/>
      <c r="D55" s="655"/>
      <c r="E55" s="655"/>
      <c r="G55" s="655"/>
      <c r="H55" s="655"/>
      <c r="I55" s="360"/>
      <c r="R55" s="691"/>
      <c r="S55" s="710"/>
    </row>
    <row r="56" spans="2:19" ht="12.75">
      <c r="B56" s="654"/>
      <c r="C56" s="667"/>
      <c r="D56" s="655"/>
      <c r="E56" s="655"/>
      <c r="F56" s="663"/>
      <c r="G56" s="659"/>
      <c r="H56" s="659"/>
      <c r="I56" s="687"/>
      <c r="J56" s="717"/>
      <c r="K56" s="693"/>
      <c r="L56" s="750"/>
      <c r="M56" s="689"/>
      <c r="N56" s="689"/>
      <c r="O56" s="689"/>
      <c r="P56" s="689"/>
      <c r="Q56" s="689"/>
      <c r="R56" s="750"/>
      <c r="S56" s="711"/>
    </row>
    <row r="57" spans="2:19" ht="12.75">
      <c r="B57" s="59" t="s">
        <v>124</v>
      </c>
      <c r="C57" s="660"/>
      <c r="D57" s="659"/>
      <c r="E57" s="659"/>
      <c r="F57" s="702">
        <f>SUM(F15:F56)</f>
        <v>1672692.2500000002</v>
      </c>
      <c r="G57" s="748"/>
      <c r="H57" s="748"/>
      <c r="I57" s="748"/>
      <c r="J57" s="694"/>
      <c r="K57" s="749"/>
      <c r="L57" s="702">
        <f>SUM(L15:L56)</f>
        <v>1357795.3799999997</v>
      </c>
      <c r="M57" s="748"/>
      <c r="N57" s="748"/>
      <c r="O57" s="748"/>
      <c r="P57" s="748"/>
      <c r="Q57" s="748"/>
      <c r="R57" s="702">
        <f>+F57-L57</f>
        <v>314896.8700000006</v>
      </c>
      <c r="S57" s="705">
        <f>R57/L57</f>
        <v>0.23191776510537299</v>
      </c>
    </row>
    <row r="58" spans="1:19" s="652" customFormat="1" ht="12.75">
      <c r="A58" s="740" t="s">
        <v>106</v>
      </c>
      <c r="B58" s="741" t="s">
        <v>116</v>
      </c>
      <c r="C58" s="742">
        <f>SUM(C25:C57)</f>
        <v>108411.12999999999</v>
      </c>
      <c r="D58" s="742">
        <f>SUM(D11:D57)-1</f>
        <v>4566841.06</v>
      </c>
      <c r="E58" s="742">
        <f>SUM(E11:E54)</f>
        <v>1544594.02</v>
      </c>
      <c r="F58" s="742">
        <f>SUM(F11:F55)</f>
        <v>6111436.079999999</v>
      </c>
      <c r="G58" s="743"/>
      <c r="H58" s="743"/>
      <c r="I58" s="744"/>
      <c r="J58" s="745">
        <f>SUM(J11:J57)</f>
        <v>4077227.4899999998</v>
      </c>
      <c r="K58" s="746">
        <f>SUM(K10:K57)</f>
        <v>1257968.2800000003</v>
      </c>
      <c r="L58" s="742">
        <f>SUM(L10:L55)</f>
        <v>5335195.77</v>
      </c>
      <c r="M58" s="740"/>
      <c r="N58" s="740"/>
      <c r="O58" s="740"/>
      <c r="P58" s="740"/>
      <c r="Q58" s="740"/>
      <c r="R58" s="742">
        <f>+F58-L58</f>
        <v>776240.3099999996</v>
      </c>
      <c r="S58" s="747">
        <f>R58/L58</f>
        <v>0.14549425053244103</v>
      </c>
    </row>
    <row r="59" spans="1:20" ht="12.75">
      <c r="A59" t="s">
        <v>107</v>
      </c>
      <c r="B59" s="670" t="s">
        <v>175</v>
      </c>
      <c r="C59" s="668"/>
      <c r="D59" s="681"/>
      <c r="E59" s="681">
        <f>+'[1]TB03-31-04(Final)'!E644</f>
        <v>22313.94</v>
      </c>
      <c r="F59" s="681">
        <f>SUM(D59:E59)</f>
        <v>22313.94</v>
      </c>
      <c r="G59" s="682"/>
      <c r="H59" s="682"/>
      <c r="I59" s="683"/>
      <c r="K59" s="690">
        <f>SUM('[6]TB09-30-02(Final)'!$E$562)-J59</f>
        <v>11580</v>
      </c>
      <c r="L59" s="681">
        <f>SUM(J59:K59)</f>
        <v>11580</v>
      </c>
      <c r="R59" s="670">
        <f t="shared" si="3"/>
        <v>10733.939999999999</v>
      </c>
      <c r="S59" s="705">
        <f>R59/L59</f>
        <v>0.9269378238341968</v>
      </c>
      <c r="T59" t="s">
        <v>127</v>
      </c>
    </row>
    <row r="60" spans="2:19" ht="12.75">
      <c r="B60" s="653"/>
      <c r="C60" s="668"/>
      <c r="D60" s="682"/>
      <c r="E60" s="682"/>
      <c r="F60" s="684"/>
      <c r="G60" s="682"/>
      <c r="H60" s="682"/>
      <c r="I60" s="683"/>
      <c r="J60" s="690" t="s">
        <v>92</v>
      </c>
      <c r="L60" s="712"/>
      <c r="R60" s="661">
        <f t="shared" si="3"/>
        <v>0</v>
      </c>
      <c r="S60" s="708"/>
    </row>
    <row r="61" spans="1:19" ht="12.75">
      <c r="A61" t="s">
        <v>108</v>
      </c>
      <c r="B61" s="59" t="s">
        <v>176</v>
      </c>
      <c r="C61" s="671"/>
      <c r="D61" s="682"/>
      <c r="E61" s="682"/>
      <c r="F61" s="712"/>
      <c r="G61" s="713"/>
      <c r="H61" s="713"/>
      <c r="I61" s="714"/>
      <c r="L61" s="712"/>
      <c r="R61" s="661">
        <f t="shared" si="3"/>
        <v>0</v>
      </c>
      <c r="S61" s="708"/>
    </row>
    <row r="62" spans="2:19" ht="12.75">
      <c r="B62" s="668" t="s">
        <v>177</v>
      </c>
      <c r="C62" s="668"/>
      <c r="D62" s="683">
        <f>+'[1]TB03-31-04(Final)'!Z790</f>
        <v>289.58</v>
      </c>
      <c r="E62" s="684">
        <v>0</v>
      </c>
      <c r="F62" s="712">
        <f>SUM(D62:E62)</f>
        <v>289.58</v>
      </c>
      <c r="G62" s="713"/>
      <c r="H62" s="713"/>
      <c r="I62" s="714"/>
      <c r="L62" s="712"/>
      <c r="R62" s="661">
        <f t="shared" si="3"/>
        <v>289.58</v>
      </c>
      <c r="S62" s="708"/>
    </row>
    <row r="63" spans="2:19" ht="12.75">
      <c r="B63" s="668" t="s">
        <v>178</v>
      </c>
      <c r="C63" s="668"/>
      <c r="D63" s="683" t="e">
        <f>+'[1]TB03-31-04(Final)'!D991</f>
        <v>#REF!</v>
      </c>
      <c r="E63" s="683">
        <f>+'[1]TB03-31-04(Final)'!E994</f>
        <v>0</v>
      </c>
      <c r="F63" s="712" t="e">
        <f>SUM(D63:E63)</f>
        <v>#REF!</v>
      </c>
      <c r="G63" s="713"/>
      <c r="H63" s="713"/>
      <c r="I63" s="714"/>
      <c r="L63" s="712"/>
      <c r="R63" s="661" t="e">
        <f t="shared" si="3"/>
        <v>#REF!</v>
      </c>
      <c r="S63" s="708"/>
    </row>
    <row r="64" spans="2:20" ht="12.75">
      <c r="B64" s="668" t="s">
        <v>183</v>
      </c>
      <c r="C64" s="669">
        <f>209.55+403.86+1554.27</f>
        <v>2167.6800000000003</v>
      </c>
      <c r="D64" s="681">
        <f>+'[1]TB03-31-04(Final)'!Z830</f>
        <v>6929.51</v>
      </c>
      <c r="E64" s="681">
        <f>+'[1]TB03-31-04(Final)'!Z831-D64</f>
        <v>20592.989999999998</v>
      </c>
      <c r="F64" s="681">
        <f>SUM(D64:E64)</f>
        <v>27522.5</v>
      </c>
      <c r="G64" s="682"/>
      <c r="H64" s="682"/>
      <c r="I64" s="683"/>
      <c r="J64" s="690">
        <f>-475.32+120-425.35</f>
        <v>-780.6700000000001</v>
      </c>
      <c r="K64" s="690">
        <f>SUM('[6]TB09-30-02(Final)'!$E$710:$E$741)-J64</f>
        <v>1693.6599999999994</v>
      </c>
      <c r="L64" s="681">
        <f>SUM(J64:K64)</f>
        <v>912.9899999999993</v>
      </c>
      <c r="R64" s="670">
        <f t="shared" si="3"/>
        <v>26609.510000000002</v>
      </c>
      <c r="S64" s="705">
        <f>R64/L64</f>
        <v>29.145456138621476</v>
      </c>
      <c r="T64" t="s">
        <v>126</v>
      </c>
    </row>
    <row r="65" spans="2:19" ht="12.75">
      <c r="B65" s="668" t="s">
        <v>229</v>
      </c>
      <c r="C65" s="672">
        <f>712.12-2.22-102</f>
        <v>607.9</v>
      </c>
      <c r="D65" s="685">
        <f>+'[1]TB03-31-04(Final)'!Z1001-102</f>
        <v>700.17</v>
      </c>
      <c r="E65" s="685">
        <f>+'[1]TB03-31-04(Final)'!Z1003+102</f>
        <v>13523.92</v>
      </c>
      <c r="F65" s="685">
        <f>SUM(D65:E65)</f>
        <v>14224.09</v>
      </c>
      <c r="G65" s="682"/>
      <c r="H65" s="682"/>
      <c r="I65" s="683"/>
      <c r="J65" s="693">
        <f>913.62+176.46+56.22</f>
        <v>1146.3</v>
      </c>
      <c r="K65" s="693">
        <f>(7314.87-2304.97)-J65</f>
        <v>3863.5999999999995</v>
      </c>
      <c r="L65" s="685">
        <f>SUM(J65:K65)</f>
        <v>5009.9</v>
      </c>
      <c r="R65" s="677">
        <f t="shared" si="3"/>
        <v>9214.19</v>
      </c>
      <c r="S65" s="709">
        <f>R65/L65</f>
        <v>1.839196391145532</v>
      </c>
    </row>
    <row r="66" spans="2:19" ht="13.5" thickBot="1">
      <c r="B66" s="59" t="s">
        <v>121</v>
      </c>
      <c r="C66" s="726"/>
      <c r="D66" s="670"/>
      <c r="E66" s="670"/>
      <c r="F66" s="727">
        <f>+F57+F59+F64+F65</f>
        <v>1736752.7800000003</v>
      </c>
      <c r="G66" s="728"/>
      <c r="H66" s="728"/>
      <c r="I66" s="729"/>
      <c r="J66" s="730"/>
      <c r="K66" s="730"/>
      <c r="L66" s="727">
        <f>+L57+L59+L64+L65</f>
        <v>1375298.2699999996</v>
      </c>
      <c r="M66" s="719"/>
      <c r="N66" s="719"/>
      <c r="O66" s="719"/>
      <c r="P66" s="719"/>
      <c r="Q66" s="719"/>
      <c r="R66" s="720"/>
      <c r="S66" s="721"/>
    </row>
    <row r="67" spans="2:19" ht="13.5" thickTop="1">
      <c r="B67" s="74" t="s">
        <v>123</v>
      </c>
      <c r="C67" s="688"/>
      <c r="D67" s="681"/>
      <c r="E67" s="681"/>
      <c r="F67" s="681">
        <v>-111187.2</v>
      </c>
      <c r="G67" s="722"/>
      <c r="H67" s="722"/>
      <c r="I67" s="723"/>
      <c r="J67" s="695"/>
      <c r="K67" s="695"/>
      <c r="L67" s="681">
        <v>-100193</v>
      </c>
      <c r="M67" s="724"/>
      <c r="N67" s="724"/>
      <c r="O67" s="724"/>
      <c r="P67" s="724"/>
      <c r="Q67" s="724"/>
      <c r="R67" s="700"/>
      <c r="S67" s="725"/>
    </row>
    <row r="68" spans="2:19" s="731" customFormat="1" ht="13.5" thickBot="1">
      <c r="B68" s="59" t="s">
        <v>122</v>
      </c>
      <c r="C68" s="726"/>
      <c r="D68" s="670"/>
      <c r="E68" s="670"/>
      <c r="F68" s="736">
        <f>+F66+F67</f>
        <v>1625565.5800000003</v>
      </c>
      <c r="G68" s="737"/>
      <c r="H68" s="737"/>
      <c r="I68" s="737"/>
      <c r="J68" s="738"/>
      <c r="K68" s="738"/>
      <c r="L68" s="736">
        <f>+L66+L67</f>
        <v>1275105.2699999996</v>
      </c>
      <c r="M68" s="732"/>
      <c r="N68" s="732"/>
      <c r="O68" s="732"/>
      <c r="P68" s="732"/>
      <c r="Q68" s="732"/>
      <c r="R68" s="736">
        <f>+F68-L68</f>
        <v>350460.31000000075</v>
      </c>
      <c r="S68" s="739">
        <f>R68/L68</f>
        <v>0.2748481386168225</v>
      </c>
    </row>
    <row r="69" spans="2:19" s="731" customFormat="1" ht="12.75">
      <c r="B69" s="59"/>
      <c r="C69" s="726"/>
      <c r="D69" s="670"/>
      <c r="E69" s="670"/>
      <c r="F69" s="733"/>
      <c r="G69" s="734"/>
      <c r="H69" s="734"/>
      <c r="I69" s="734"/>
      <c r="J69" s="735"/>
      <c r="K69" s="735"/>
      <c r="L69" s="733"/>
      <c r="M69" s="732"/>
      <c r="N69" s="732"/>
      <c r="O69" s="732"/>
      <c r="P69" s="732"/>
      <c r="Q69" s="732"/>
      <c r="R69" s="700"/>
      <c r="S69" s="725"/>
    </row>
    <row r="70" spans="1:19" s="652" customFormat="1" ht="12.75">
      <c r="A70" s="652" t="s">
        <v>109</v>
      </c>
      <c r="B70" s="59" t="s">
        <v>179</v>
      </c>
      <c r="C70" s="670">
        <f>+C58+C64+C65</f>
        <v>111186.70999999999</v>
      </c>
      <c r="D70" s="658" t="e">
        <f>SUM(D58:D65)+1</f>
        <v>#REF!</v>
      </c>
      <c r="E70" s="658">
        <f>SUM(E58:E65)</f>
        <v>1601024.8699999999</v>
      </c>
      <c r="F70" s="658" t="e">
        <f>SUM(F58:F65)</f>
        <v>#REF!</v>
      </c>
      <c r="G70" s="656"/>
      <c r="H70" s="656"/>
      <c r="I70" s="686"/>
      <c r="J70" s="696">
        <f>SUM(J58:J65)</f>
        <v>4077593.1199999996</v>
      </c>
      <c r="K70" s="694">
        <f>SUM(K58:K65)</f>
        <v>1275105.5400000003</v>
      </c>
      <c r="L70" s="658">
        <f>SUM(L58:L65)</f>
        <v>5352698.66</v>
      </c>
      <c r="S70" s="707"/>
    </row>
    <row r="71" spans="2:18" ht="12.75">
      <c r="B71" s="676" t="s">
        <v>26</v>
      </c>
      <c r="C71" s="364">
        <v>111187</v>
      </c>
      <c r="D71" s="677">
        <v>3400757</v>
      </c>
      <c r="E71" s="677">
        <v>1600894</v>
      </c>
      <c r="F71" s="677">
        <v>5001652</v>
      </c>
      <c r="G71" s="659"/>
      <c r="H71" s="659"/>
      <c r="I71" s="687"/>
      <c r="J71" s="695">
        <v>4077593</v>
      </c>
      <c r="K71" s="690">
        <f>1263526+11580</f>
        <v>1275106</v>
      </c>
      <c r="L71" s="677">
        <f>SUM(J71:K71)</f>
        <v>5352699</v>
      </c>
      <c r="R71" s="703"/>
    </row>
    <row r="72" spans="2:19" ht="13.5" thickBot="1">
      <c r="B72" s="718" t="s">
        <v>28</v>
      </c>
      <c r="C72" s="364">
        <f>+C70-C71</f>
        <v>-0.2900000000081491</v>
      </c>
      <c r="D72" s="678" t="e">
        <f>+D70-D71</f>
        <v>#REF!</v>
      </c>
      <c r="E72" s="678">
        <f>+E70-E71</f>
        <v>130.86999999987893</v>
      </c>
      <c r="F72" s="678" t="e">
        <f>+F70-F71</f>
        <v>#REF!</v>
      </c>
      <c r="G72" s="655"/>
      <c r="H72" s="655"/>
      <c r="I72" s="655"/>
      <c r="J72" s="697">
        <f>+J70-J71</f>
        <v>0.11999999964609742</v>
      </c>
      <c r="K72" s="697">
        <f>+K70-K71</f>
        <v>-0.45999999972991645</v>
      </c>
      <c r="L72" s="678">
        <f>+L70-L71</f>
        <v>-0.3399999998509884</v>
      </c>
      <c r="R72" s="704"/>
      <c r="S72" s="715"/>
    </row>
    <row r="73" spans="1:18" ht="13.5" thickTop="1">
      <c r="A73" t="s">
        <v>110</v>
      </c>
      <c r="B73" s="670" t="s">
        <v>180</v>
      </c>
      <c r="D73" s="670">
        <v>0</v>
      </c>
      <c r="E73" s="670">
        <v>305438</v>
      </c>
      <c r="F73" s="670">
        <f>SUM(D73:E73)</f>
        <v>305438</v>
      </c>
      <c r="G73" s="655"/>
      <c r="H73" s="655"/>
      <c r="I73" s="655"/>
      <c r="K73" s="690">
        <v>287179</v>
      </c>
      <c r="L73" s="670">
        <f>SUM(J73:K73)</f>
        <v>287179</v>
      </c>
      <c r="R73" s="652"/>
    </row>
    <row r="74" spans="1:18" ht="12.75">
      <c r="A74" t="s">
        <v>111</v>
      </c>
      <c r="B74" s="670" t="s">
        <v>25</v>
      </c>
      <c r="C74" s="660"/>
      <c r="D74" s="677">
        <v>0</v>
      </c>
      <c r="E74" s="677">
        <v>309881</v>
      </c>
      <c r="F74" s="677">
        <f>SUM(D74:E74)</f>
        <v>309881</v>
      </c>
      <c r="G74" s="655"/>
      <c r="H74" s="655"/>
      <c r="I74" s="655"/>
      <c r="J74" s="693"/>
      <c r="K74" s="690">
        <v>453634</v>
      </c>
      <c r="L74" s="677">
        <f>SUM(J74:K74)</f>
        <v>453634</v>
      </c>
      <c r="R74" s="652"/>
    </row>
    <row r="75" spans="2:19" ht="12.75">
      <c r="B75" s="670" t="s">
        <v>27</v>
      </c>
      <c r="D75" s="360">
        <f>+D73-D74</f>
        <v>0</v>
      </c>
      <c r="E75" s="670">
        <f>-E73+E74</f>
        <v>4443</v>
      </c>
      <c r="F75" s="670">
        <f>-F73+F74</f>
        <v>4443</v>
      </c>
      <c r="G75" s="655"/>
      <c r="H75" s="655"/>
      <c r="I75" s="655"/>
      <c r="J75" s="690">
        <f>SUM(J73:J74)</f>
        <v>0</v>
      </c>
      <c r="K75" s="698">
        <f>-K73+K74</f>
        <v>166455</v>
      </c>
      <c r="L75" s="670">
        <f>SUM(J75:K75)</f>
        <v>166455</v>
      </c>
      <c r="R75" s="699"/>
      <c r="S75" s="716"/>
    </row>
    <row r="76" spans="1:19" ht="13.5" thickBot="1">
      <c r="A76" t="s">
        <v>112</v>
      </c>
      <c r="B76" s="59" t="s">
        <v>181</v>
      </c>
      <c r="C76" s="666">
        <f>+C70-C73+C74</f>
        <v>111186.70999999999</v>
      </c>
      <c r="D76" s="666" t="e">
        <f>+D70-D73+D74</f>
        <v>#REF!</v>
      </c>
      <c r="E76" s="666">
        <f>+E70-E73+E74</f>
        <v>1605467.8699999999</v>
      </c>
      <c r="F76" s="755">
        <f>+F71+F75</f>
        <v>5006095</v>
      </c>
      <c r="G76" s="756"/>
      <c r="H76" s="756"/>
      <c r="I76" s="756"/>
      <c r="J76" s="757">
        <f>+J70-J73+J74</f>
        <v>4077593.1199999996</v>
      </c>
      <c r="K76" s="757">
        <f>+K70-K73+K74</f>
        <v>1441560.5400000003</v>
      </c>
      <c r="L76" s="755">
        <f>+L70-L73+L74</f>
        <v>5519153.66</v>
      </c>
      <c r="R76" s="704"/>
      <c r="S76" s="715"/>
    </row>
    <row r="77" spans="2:18" ht="13.5" thickTop="1">
      <c r="B77" s="676"/>
      <c r="E77" s="655">
        <v>1600894</v>
      </c>
      <c r="F77" s="661" t="e">
        <f>+F70-F73+F74</f>
        <v>#REF!</v>
      </c>
      <c r="J77" s="692"/>
      <c r="K77" s="690">
        <v>1263526</v>
      </c>
      <c r="L77" s="661">
        <f>+L70-L73+L74</f>
        <v>5519153.66</v>
      </c>
      <c r="R77" s="652"/>
    </row>
    <row r="78" spans="5:12" ht="12.75">
      <c r="E78" s="680">
        <f>+E76-E77</f>
        <v>4573.869999999879</v>
      </c>
      <c r="L78" s="661"/>
    </row>
    <row r="79" spans="2:11" ht="12.75">
      <c r="B79" s="676"/>
      <c r="E79" s="360"/>
      <c r="K79" s="690">
        <f>+K75-K78</f>
        <v>166455</v>
      </c>
    </row>
    <row r="80" ht="12.75">
      <c r="E80" s="680"/>
    </row>
    <row r="81" ht="12.75">
      <c r="E81" s="360"/>
    </row>
    <row r="82" spans="2:5" ht="12.75">
      <c r="B82" s="676"/>
      <c r="E82" s="680"/>
    </row>
  </sheetData>
  <mergeCells count="9">
    <mergeCell ref="F9:H9"/>
    <mergeCell ref="I9:K9"/>
    <mergeCell ref="A1:T1"/>
    <mergeCell ref="A3:T3"/>
    <mergeCell ref="A5:T5"/>
    <mergeCell ref="F8:L8"/>
    <mergeCell ref="D7:F7"/>
    <mergeCell ref="G6:I6"/>
    <mergeCell ref="J7:Q7"/>
  </mergeCells>
  <printOptions gridLines="1" horizontalCentered="1"/>
  <pageMargins left="0.75" right="0.75" top="1" bottom="1" header="0.5" footer="0.5"/>
  <pageSetup horizontalDpi="600" verticalDpi="600" orientation="portrait" scale="70" r:id="rId1"/>
  <headerFooter alignWithMargins="0">
    <oddFooter>&amp;C2001 Yellow Book (Page 11)</oddFooter>
  </headerFooter>
</worksheet>
</file>

<file path=xl/worksheets/sheet4.xml><?xml version="1.0" encoding="utf-8"?>
<worksheet xmlns="http://schemas.openxmlformats.org/spreadsheetml/2006/main" xmlns:r="http://schemas.openxmlformats.org/officeDocument/2006/relationships">
  <dimension ref="A1:G55"/>
  <sheetViews>
    <sheetView tabSelected="1" zoomScale="75" zoomScaleNormal="75" workbookViewId="0" topLeftCell="A16">
      <selection activeCell="A29" sqref="A29"/>
    </sheetView>
  </sheetViews>
  <sheetFormatPr defaultColWidth="9.140625" defaultRowHeight="15" customHeight="1"/>
  <cols>
    <col min="1" max="1" width="60.57421875" style="14" customWidth="1"/>
    <col min="2" max="2" width="15.7109375" style="480" customWidth="1"/>
    <col min="3" max="3" width="14.57421875" style="480" customWidth="1"/>
    <col min="4" max="4" width="15.00390625" style="480" customWidth="1"/>
    <col min="5" max="5" width="17.7109375" style="480" customWidth="1"/>
    <col min="6" max="16384" width="15.7109375" style="14" customWidth="1"/>
  </cols>
  <sheetData>
    <row r="1" spans="1:5" s="11" customFormat="1" ht="24.75" customHeight="1">
      <c r="A1" s="925" t="s">
        <v>251</v>
      </c>
      <c r="B1" s="925"/>
      <c r="C1" s="925"/>
      <c r="D1" s="925"/>
      <c r="E1" s="925"/>
    </row>
    <row r="2" spans="1:5" s="11" customFormat="1" ht="15" customHeight="1">
      <c r="A2" s="920"/>
      <c r="B2" s="920"/>
      <c r="C2" s="920"/>
      <c r="D2" s="920"/>
      <c r="E2" s="920"/>
    </row>
    <row r="3" spans="1:5" s="12" customFormat="1" ht="15" customHeight="1">
      <c r="A3" s="926" t="s">
        <v>206</v>
      </c>
      <c r="B3" s="926"/>
      <c r="C3" s="926"/>
      <c r="D3" s="926"/>
      <c r="E3" s="926"/>
    </row>
    <row r="4" spans="1:5" s="12" customFormat="1" ht="15" customHeight="1">
      <c r="A4" s="927" t="s">
        <v>472</v>
      </c>
      <c r="B4" s="927"/>
      <c r="C4" s="927"/>
      <c r="D4" s="927"/>
      <c r="E4" s="927"/>
    </row>
    <row r="5" spans="1:5" s="12" customFormat="1" ht="15" customHeight="1">
      <c r="A5" s="777"/>
      <c r="B5" s="777"/>
      <c r="C5" s="777"/>
      <c r="D5" s="777"/>
      <c r="E5" s="777"/>
    </row>
    <row r="6" spans="1:5" ht="49.5" customHeight="1">
      <c r="A6" s="798"/>
      <c r="B6" s="797" t="s">
        <v>207</v>
      </c>
      <c r="C6" s="797" t="s">
        <v>208</v>
      </c>
      <c r="D6" s="797" t="s">
        <v>209</v>
      </c>
      <c r="E6" s="797" t="s">
        <v>210</v>
      </c>
    </row>
    <row r="7" spans="1:5" ht="15" customHeight="1">
      <c r="A7" s="799" t="s">
        <v>253</v>
      </c>
      <c r="B7" s="475"/>
      <c r="C7" s="475"/>
      <c r="D7" s="475"/>
      <c r="E7" s="475"/>
    </row>
    <row r="8" spans="1:5" ht="15" customHeight="1">
      <c r="A8" s="800" t="s">
        <v>486</v>
      </c>
      <c r="B8" s="476">
        <f>'[11]1Q05 Trial Balance'!D16+'[11]1Q05 Trial Balance'!$D$20</f>
        <v>13850802.89</v>
      </c>
      <c r="C8" s="483">
        <v>0</v>
      </c>
      <c r="D8" s="483">
        <v>0</v>
      </c>
      <c r="E8" s="476">
        <f>SUM(B8:D8)</f>
        <v>13850802.89</v>
      </c>
    </row>
    <row r="9" spans="1:5" ht="15" customHeight="1">
      <c r="A9" s="800" t="s">
        <v>254</v>
      </c>
      <c r="B9" s="484">
        <v>0</v>
      </c>
      <c r="C9" s="484">
        <f>'[11]1Q05 Trial Balance'!D23</f>
        <v>72229.78</v>
      </c>
      <c r="D9" s="484">
        <v>0</v>
      </c>
      <c r="E9" s="484">
        <f>SUM(B9:D9)</f>
        <v>72229.78</v>
      </c>
    </row>
    <row r="10" spans="1:5" ht="15" customHeight="1">
      <c r="A10" s="800" t="s">
        <v>255</v>
      </c>
      <c r="B10" s="484">
        <f>369280.9-247256.22</f>
        <v>122024.68000000002</v>
      </c>
      <c r="C10" s="484">
        <v>0</v>
      </c>
      <c r="D10" s="484">
        <f>B10</f>
        <v>122024.68000000002</v>
      </c>
      <c r="E10" s="484">
        <f>+B10-D10</f>
        <v>0</v>
      </c>
    </row>
    <row r="11" spans="1:5" ht="15" customHeight="1">
      <c r="A11" s="800" t="s">
        <v>487</v>
      </c>
      <c r="B11" s="484">
        <f>'[11]1Q05 Trial Balance'!D31-1+151575+75000+225+1912.5+1</f>
        <v>271456</v>
      </c>
      <c r="C11" s="484">
        <v>0</v>
      </c>
      <c r="D11" s="484">
        <f>151575+75000+225+1912.5</f>
        <v>228712.5</v>
      </c>
      <c r="E11" s="484">
        <f>B11-D11-1</f>
        <v>42742.5</v>
      </c>
    </row>
    <row r="12" spans="1:5" ht="15" customHeight="1">
      <c r="A12" s="800" t="s">
        <v>258</v>
      </c>
      <c r="B12" s="484">
        <f>75838.16-36466.4</f>
        <v>39371.76</v>
      </c>
      <c r="C12" s="484">
        <v>0</v>
      </c>
      <c r="D12" s="484">
        <f>B12</f>
        <v>39371.76</v>
      </c>
      <c r="E12" s="484">
        <f>+B12-D12</f>
        <v>0</v>
      </c>
    </row>
    <row r="13" spans="1:5" ht="15" customHeight="1">
      <c r="A13" s="801" t="s">
        <v>259</v>
      </c>
      <c r="B13" s="477">
        <f>SUM(B8:B12)+1</f>
        <v>14283656.33</v>
      </c>
      <c r="C13" s="477">
        <f>SUM(C8:C12)</f>
        <v>72229.78</v>
      </c>
      <c r="D13" s="477">
        <f>SUM(D8:D12)+1</f>
        <v>390109.94000000006</v>
      </c>
      <c r="E13" s="477">
        <f>SUM(E8:E12)+1</f>
        <v>13965776.17</v>
      </c>
    </row>
    <row r="14" spans="1:5" ht="15" customHeight="1">
      <c r="A14" s="802"/>
      <c r="B14" s="478"/>
      <c r="C14" s="478"/>
      <c r="D14" s="478"/>
      <c r="E14" s="478"/>
    </row>
    <row r="15" spans="1:5" ht="15" customHeight="1">
      <c r="A15" s="803" t="s">
        <v>260</v>
      </c>
      <c r="B15" s="478"/>
      <c r="C15" s="478"/>
      <c r="D15" s="478"/>
      <c r="E15" s="478"/>
    </row>
    <row r="16" spans="1:5" ht="15" customHeight="1">
      <c r="A16" s="804" t="s">
        <v>437</v>
      </c>
      <c r="B16" s="478"/>
      <c r="C16" s="479"/>
      <c r="D16" s="487">
        <f>-'[11]1Q05 Trial Balance'!D175</f>
        <v>1504718</v>
      </c>
      <c r="E16" s="478"/>
    </row>
    <row r="17" spans="1:5" ht="15" customHeight="1">
      <c r="A17" s="804" t="s">
        <v>438</v>
      </c>
      <c r="B17" s="478"/>
      <c r="C17" s="479"/>
      <c r="D17" s="487">
        <f>-'[11]1Q05 Trial Balance'!D178</f>
        <v>336917.95</v>
      </c>
      <c r="E17" s="478"/>
    </row>
    <row r="18" spans="1:5" ht="15" customHeight="1">
      <c r="A18" s="804" t="s">
        <v>72</v>
      </c>
      <c r="B18" s="478"/>
      <c r="C18" s="479"/>
      <c r="D18" s="487">
        <f>-'[11]1Q05 Trial Balance'!D172</f>
        <v>617381.13</v>
      </c>
      <c r="E18" s="478"/>
    </row>
    <row r="19" spans="1:5" ht="15" customHeight="1">
      <c r="A19" s="804" t="s">
        <v>14</v>
      </c>
      <c r="B19" s="478"/>
      <c r="C19" s="479"/>
      <c r="D19" s="487">
        <f>-'[11]1Q05 Trial Balance'!D183</f>
        <v>558607</v>
      </c>
      <c r="E19" s="478"/>
    </row>
    <row r="20" spans="1:5" ht="15" customHeight="1">
      <c r="A20" s="804" t="s">
        <v>77</v>
      </c>
      <c r="B20" s="478"/>
      <c r="C20" s="548"/>
      <c r="D20" s="487">
        <f>-'[11]1Q05 Trial Balance'!D189</f>
        <v>257758.13999999996</v>
      </c>
      <c r="E20" s="487"/>
    </row>
    <row r="21" spans="1:5" ht="15" customHeight="1">
      <c r="A21" s="804" t="s">
        <v>448</v>
      </c>
      <c r="B21" s="478"/>
      <c r="C21" s="548"/>
      <c r="D21" s="487">
        <f>-'[11]1Q05 Trial Balance'!D135</f>
        <v>27601.77</v>
      </c>
      <c r="E21" s="487"/>
    </row>
    <row r="22" spans="1:5" ht="15" customHeight="1">
      <c r="A22" s="804" t="s">
        <v>78</v>
      </c>
      <c r="B22" s="478"/>
      <c r="C22" s="479"/>
      <c r="D22" s="486">
        <f>-'[11]1Q05 Trial Balance'!D131</f>
        <v>185534.30000000002</v>
      </c>
      <c r="E22" s="479"/>
    </row>
    <row r="23" spans="1:5" ht="15" customHeight="1">
      <c r="A23" s="804"/>
      <c r="B23" s="359"/>
      <c r="C23" s="478"/>
      <c r="D23" s="478"/>
      <c r="E23" s="487"/>
    </row>
    <row r="24" spans="1:5" ht="15" customHeight="1">
      <c r="A24" s="801" t="s">
        <v>262</v>
      </c>
      <c r="B24" s="478"/>
      <c r="C24" s="478"/>
      <c r="D24" s="478"/>
      <c r="E24" s="488">
        <f>SUM(D16:D23)</f>
        <v>3488518.29</v>
      </c>
    </row>
    <row r="25" spans="1:5" ht="15" customHeight="1">
      <c r="A25" s="802"/>
      <c r="B25" s="478"/>
      <c r="C25" s="478"/>
      <c r="D25" s="478"/>
      <c r="E25" s="478"/>
    </row>
    <row r="26" spans="1:5" ht="15" customHeight="1">
      <c r="A26" s="803" t="s">
        <v>263</v>
      </c>
      <c r="B26" s="478"/>
      <c r="C26" s="478"/>
      <c r="D26" s="478"/>
      <c r="E26" s="478"/>
    </row>
    <row r="27" spans="1:5" ht="15" customHeight="1">
      <c r="A27" s="804" t="s">
        <v>264</v>
      </c>
      <c r="B27" s="478"/>
      <c r="C27" s="479"/>
      <c r="D27" s="487">
        <f>'Equity QTD-3'!G39</f>
        <v>11538864</v>
      </c>
      <c r="E27" s="478"/>
    </row>
    <row r="28" spans="1:5" ht="15" customHeight="1">
      <c r="A28" s="804" t="s">
        <v>69</v>
      </c>
      <c r="B28" s="478"/>
      <c r="C28" s="479"/>
      <c r="D28" s="487">
        <f>-'[11]1Q05 Trial Balance'!D68</f>
        <v>4508868.609999999</v>
      </c>
      <c r="E28" s="478"/>
    </row>
    <row r="29" spans="1:5" ht="15" customHeight="1">
      <c r="A29" s="804" t="s">
        <v>68</v>
      </c>
      <c r="B29" s="478"/>
      <c r="C29" s="479"/>
      <c r="D29" s="487">
        <f>-'[11]1Q05 Trial Balance'!D84</f>
        <v>899302</v>
      </c>
      <c r="E29" s="487"/>
    </row>
    <row r="30" spans="1:5" ht="15" customHeight="1">
      <c r="A30" s="804" t="s">
        <v>73</v>
      </c>
      <c r="B30" s="478"/>
      <c r="C30" s="479"/>
      <c r="D30" s="487">
        <f>-'[11]1Q05 Trial Balance'!D104</f>
        <v>461826</v>
      </c>
      <c r="E30" s="478"/>
    </row>
    <row r="31" spans="1:6" ht="15" customHeight="1">
      <c r="A31" s="804" t="s">
        <v>74</v>
      </c>
      <c r="B31" s="479"/>
      <c r="C31" s="479"/>
      <c r="D31" s="487">
        <f>-'[11]1Q05 Trial Balance'!D121+1</f>
        <v>135867.9</v>
      </c>
      <c r="E31" s="487"/>
      <c r="F31" s="807"/>
    </row>
    <row r="32" spans="1:5" ht="15" customHeight="1">
      <c r="A32" s="804" t="s">
        <v>102</v>
      </c>
      <c r="B32" s="478"/>
      <c r="C32" s="479"/>
      <c r="D32" s="122">
        <f>'Equity QTD-3'!G42</f>
        <v>301586.77</v>
      </c>
      <c r="E32" s="478"/>
    </row>
    <row r="33" spans="1:5" ht="15" customHeight="1">
      <c r="A33" s="804" t="s">
        <v>96</v>
      </c>
      <c r="B33" s="478"/>
      <c r="C33" s="478"/>
      <c r="D33" s="486">
        <f>'Equity QTD-3'!G43</f>
        <v>50945.26</v>
      </c>
      <c r="E33" s="478"/>
    </row>
    <row r="34" spans="1:5" ht="15" customHeight="1">
      <c r="A34" s="804"/>
      <c r="B34" s="478"/>
      <c r="C34" s="478"/>
      <c r="D34" s="478"/>
      <c r="E34" s="478"/>
    </row>
    <row r="35" spans="1:5" ht="15" customHeight="1">
      <c r="A35" s="805" t="s">
        <v>381</v>
      </c>
      <c r="B35" s="478"/>
      <c r="C35" s="478"/>
      <c r="D35" s="479"/>
      <c r="E35" s="488">
        <f>SUM(D27:D33)</f>
        <v>17897260.54</v>
      </c>
    </row>
    <row r="36" spans="1:5" ht="15" customHeight="1">
      <c r="A36" s="805"/>
      <c r="B36" s="478"/>
      <c r="C36" s="478"/>
      <c r="D36" s="479"/>
      <c r="E36" s="481"/>
    </row>
    <row r="37" spans="1:5" ht="15" customHeight="1">
      <c r="A37" s="801" t="s">
        <v>266</v>
      </c>
      <c r="B37" s="478"/>
      <c r="C37" s="478"/>
      <c r="D37" s="479"/>
      <c r="E37" s="489">
        <f>E35+E24</f>
        <v>21385778.83</v>
      </c>
    </row>
    <row r="38" spans="1:5" ht="15" customHeight="1">
      <c r="A38" s="802"/>
      <c r="B38" s="478"/>
      <c r="C38" s="478"/>
      <c r="D38" s="479"/>
      <c r="E38" s="478"/>
    </row>
    <row r="39" spans="1:5" ht="15" customHeight="1">
      <c r="A39" s="803" t="s">
        <v>267</v>
      </c>
      <c r="B39" s="478"/>
      <c r="C39" s="478"/>
      <c r="D39" s="479"/>
      <c r="E39" s="478"/>
    </row>
    <row r="40" spans="1:7" ht="15" customHeight="1">
      <c r="A40" s="804" t="s">
        <v>474</v>
      </c>
      <c r="B40" s="478"/>
      <c r="C40" s="478"/>
      <c r="D40" s="479"/>
      <c r="E40" s="488">
        <f>+E13-E37</f>
        <v>-7420002.659999998</v>
      </c>
      <c r="F40" s="806"/>
      <c r="G40" s="807"/>
    </row>
    <row r="41" spans="1:5" ht="15" customHeight="1">
      <c r="A41" s="802"/>
      <c r="B41" s="479"/>
      <c r="C41" s="479"/>
      <c r="D41" s="479"/>
      <c r="E41" s="478"/>
    </row>
    <row r="42" spans="1:5" ht="15" customHeight="1" thickBot="1">
      <c r="A42" s="805" t="s">
        <v>268</v>
      </c>
      <c r="B42" s="478"/>
      <c r="C42" s="478"/>
      <c r="D42" s="478"/>
      <c r="E42" s="482">
        <f>E37+E40</f>
        <v>13965776.17</v>
      </c>
    </row>
    <row r="43" spans="1:5" ht="15" customHeight="1" thickTop="1">
      <c r="A43" s="15"/>
      <c r="B43" s="474"/>
      <c r="C43" s="474"/>
      <c r="D43" s="474"/>
      <c r="E43" s="474"/>
    </row>
    <row r="44" spans="1:5" ht="15" customHeight="1">
      <c r="A44" s="15"/>
      <c r="E44" s="474"/>
    </row>
    <row r="55" spans="1:5" ht="15" customHeight="1">
      <c r="A55" s="796"/>
      <c r="E55" s="896"/>
    </row>
  </sheetData>
  <mergeCells count="4">
    <mergeCell ref="A1:E1"/>
    <mergeCell ref="A3:E3"/>
    <mergeCell ref="A4:E4"/>
    <mergeCell ref="A2:E2"/>
  </mergeCells>
  <printOptions horizontalCentered="1"/>
  <pageMargins left="0.25" right="0.25" top="0.5" bottom="0.5" header="0.25" footer="0.25"/>
  <pageSetup horizontalDpi="300" verticalDpi="300" orientation="portrait" scale="80" r:id="rId1"/>
  <headerFooter alignWithMargins="0">
    <oddFooter>&amp;C&amp;"Century Schoolbook,Regular"Page 1</oddFooter>
  </headerFooter>
</worksheet>
</file>

<file path=xl/worksheets/sheet5.xml><?xml version="1.0" encoding="utf-8"?>
<worksheet xmlns="http://schemas.openxmlformats.org/spreadsheetml/2006/main" xmlns:r="http://schemas.openxmlformats.org/officeDocument/2006/relationships">
  <dimension ref="A1:E36"/>
  <sheetViews>
    <sheetView zoomScale="75" zoomScaleNormal="75" workbookViewId="0" topLeftCell="A1">
      <selection activeCell="A1" sqref="A1:E1"/>
    </sheetView>
  </sheetViews>
  <sheetFormatPr defaultColWidth="9.140625" defaultRowHeight="15" customHeight="1"/>
  <cols>
    <col min="1" max="1" width="45.7109375" style="18" customWidth="1"/>
    <col min="2" max="2" width="15.7109375" style="127" customWidth="1"/>
    <col min="3" max="3" width="19.140625" style="127" customWidth="1"/>
    <col min="4" max="4" width="15.7109375" style="18" customWidth="1"/>
    <col min="5" max="5" width="20.8515625" style="18" customWidth="1"/>
    <col min="6" max="16384" width="15.7109375" style="18" customWidth="1"/>
  </cols>
  <sheetData>
    <row r="1" spans="1:5" s="117" customFormat="1" ht="24.75" customHeight="1">
      <c r="A1" s="925" t="s">
        <v>251</v>
      </c>
      <c r="B1" s="925"/>
      <c r="C1" s="925"/>
      <c r="D1" s="925"/>
      <c r="E1" s="925"/>
    </row>
    <row r="2" spans="1:3" s="20" customFormat="1" ht="15" customHeight="1">
      <c r="A2" s="920"/>
      <c r="B2" s="920"/>
      <c r="C2" s="920"/>
    </row>
    <row r="3" spans="1:5" s="21" customFormat="1" ht="15" customHeight="1">
      <c r="A3" s="928" t="s">
        <v>269</v>
      </c>
      <c r="B3" s="928"/>
      <c r="C3" s="928"/>
      <c r="D3" s="928"/>
      <c r="E3" s="928"/>
    </row>
    <row r="4" spans="1:5" s="21" customFormat="1" ht="15" customHeight="1">
      <c r="A4" s="928" t="str">
        <f>+'Balance Sheet-1'!A4</f>
        <v>AT MARCH 31, 2005</v>
      </c>
      <c r="B4" s="928"/>
      <c r="C4" s="928"/>
      <c r="D4" s="928"/>
      <c r="E4" s="928"/>
    </row>
    <row r="5" spans="1:3" s="21" customFormat="1" ht="15" customHeight="1">
      <c r="A5" s="380"/>
      <c r="B5" s="381"/>
      <c r="C5" s="381"/>
    </row>
    <row r="6" spans="1:3" ht="15" customHeight="1">
      <c r="A6" s="371"/>
      <c r="B6" s="808" t="s">
        <v>204</v>
      </c>
      <c r="C6" s="809"/>
    </row>
    <row r="7" spans="1:3" ht="15" customHeight="1">
      <c r="A7" s="371"/>
      <c r="B7" s="810"/>
      <c r="C7" s="811"/>
    </row>
    <row r="8" spans="1:3" ht="15" customHeight="1">
      <c r="A8" s="812" t="s">
        <v>271</v>
      </c>
      <c r="B8" s="810"/>
      <c r="C8" s="813"/>
    </row>
    <row r="9" spans="1:3" ht="15" customHeight="1">
      <c r="A9" s="812"/>
      <c r="B9" s="810"/>
      <c r="C9" s="813"/>
    </row>
    <row r="10" spans="1:3" ht="15" customHeight="1">
      <c r="A10" s="371" t="s">
        <v>272</v>
      </c>
      <c r="B10" s="382"/>
      <c r="C10" s="571">
        <f>'Earned Incurred QTD-4'!D16</f>
        <v>5847744</v>
      </c>
    </row>
    <row r="11" spans="1:3" ht="15" customHeight="1">
      <c r="A11" s="812"/>
      <c r="B11" s="382"/>
      <c r="C11" s="814"/>
    </row>
    <row r="12" spans="1:3" ht="15" customHeight="1">
      <c r="A12" s="812" t="s">
        <v>273</v>
      </c>
      <c r="B12" s="382"/>
      <c r="C12" s="814"/>
    </row>
    <row r="13" spans="1:3" ht="15" customHeight="1">
      <c r="A13" s="371" t="s">
        <v>274</v>
      </c>
      <c r="B13" s="127">
        <f>'Earned Incurred QTD-4'!D23</f>
        <v>2484087.9099999988</v>
      </c>
      <c r="C13" s="814"/>
    </row>
    <row r="14" spans="1:3" ht="15" customHeight="1">
      <c r="A14" s="371" t="s">
        <v>275</v>
      </c>
      <c r="B14" s="127">
        <f>'Earned Incurred QTD-4'!D30</f>
        <v>385795.75</v>
      </c>
      <c r="C14" s="814"/>
    </row>
    <row r="15" spans="1:3" ht="15" customHeight="1">
      <c r="A15" s="371" t="s">
        <v>276</v>
      </c>
      <c r="B15" s="127">
        <f>'Earned Incurred QTD-4'!C37</f>
        <v>490163.10000000003</v>
      </c>
      <c r="C15" s="814"/>
    </row>
    <row r="16" spans="1:4" ht="15" customHeight="1">
      <c r="A16" s="371" t="s">
        <v>277</v>
      </c>
      <c r="B16" s="127">
        <f>'Earned Incurred QTD-4'!C39+'Earned Incurred QTD-4'!C38+'Earned Incurred QTD-4'!C43</f>
        <v>1078408.6999999997</v>
      </c>
      <c r="C16" s="814"/>
      <c r="D16" s="114"/>
    </row>
    <row r="17" spans="1:3" ht="15" customHeight="1">
      <c r="A17" s="371" t="s">
        <v>98</v>
      </c>
      <c r="B17" s="145">
        <f>'Earned Incurred QTD-4'!D36</f>
        <v>19395.08</v>
      </c>
      <c r="C17" s="814"/>
    </row>
    <row r="18" spans="1:3" ht="15" customHeight="1">
      <c r="A18" s="371" t="s">
        <v>458</v>
      </c>
      <c r="B18" s="382"/>
      <c r="C18" s="490">
        <f>SUM(B13:B17)</f>
        <v>4457850.539999999</v>
      </c>
    </row>
    <row r="19" spans="1:3" ht="15" customHeight="1">
      <c r="A19" s="371"/>
      <c r="B19" s="382"/>
      <c r="C19" s="491"/>
    </row>
    <row r="20" spans="1:3" ht="15" customHeight="1">
      <c r="A20" s="371" t="s">
        <v>461</v>
      </c>
      <c r="B20" s="382"/>
      <c r="C20" s="491">
        <f>C10-C18</f>
        <v>1389893.460000001</v>
      </c>
    </row>
    <row r="21" spans="1:3" ht="15" customHeight="1">
      <c r="A21" s="812"/>
      <c r="B21" s="382"/>
      <c r="C21" s="491"/>
    </row>
    <row r="22" spans="1:3" ht="15" customHeight="1">
      <c r="A22" s="812" t="s">
        <v>279</v>
      </c>
      <c r="B22" s="382"/>
      <c r="C22" s="491"/>
    </row>
    <row r="23" spans="1:3" ht="15" customHeight="1">
      <c r="A23" s="371" t="s">
        <v>44</v>
      </c>
      <c r="B23" s="382"/>
      <c r="C23" s="490">
        <f>'Earned Incurred QTD-4'!D52</f>
        <v>92750.15000000001</v>
      </c>
    </row>
    <row r="24" spans="1:3" ht="15" customHeight="1">
      <c r="A24" s="371"/>
      <c r="B24" s="382"/>
      <c r="C24" s="491"/>
    </row>
    <row r="25" spans="1:3" ht="15" customHeight="1" thickBot="1">
      <c r="A25" s="371" t="s">
        <v>462</v>
      </c>
      <c r="B25" s="382"/>
      <c r="C25" s="492">
        <f>C20+C23-1</f>
        <v>1482642.6100000008</v>
      </c>
    </row>
    <row r="26" spans="1:3" ht="15" customHeight="1">
      <c r="A26" s="812"/>
      <c r="B26" s="382"/>
      <c r="C26" s="650"/>
    </row>
    <row r="27" spans="1:3" ht="15" customHeight="1">
      <c r="A27" s="812" t="s">
        <v>267</v>
      </c>
      <c r="B27" s="382"/>
      <c r="C27" s="491"/>
    </row>
    <row r="28" spans="1:3" ht="15" customHeight="1">
      <c r="A28" s="371" t="s">
        <v>43</v>
      </c>
      <c r="B28" s="382"/>
      <c r="C28" s="491">
        <v>-8838922.720000004</v>
      </c>
    </row>
    <row r="29" spans="1:3" ht="15" customHeight="1">
      <c r="A29" s="371" t="s">
        <v>463</v>
      </c>
      <c r="B29" s="127">
        <f>C25</f>
        <v>1482642.6100000008</v>
      </c>
      <c r="C29" s="491"/>
    </row>
    <row r="30" spans="1:4" ht="15" customHeight="1">
      <c r="A30" s="371" t="s">
        <v>282</v>
      </c>
      <c r="B30" s="145">
        <f>-63722.46-1</f>
        <v>-63723.46</v>
      </c>
      <c r="C30" s="491"/>
      <c r="D30" s="114"/>
    </row>
    <row r="31" spans="3:5" ht="15" customHeight="1">
      <c r="C31" s="491"/>
      <c r="D31" s="127"/>
      <c r="E31" s="127"/>
    </row>
    <row r="32" spans="1:3" ht="15" customHeight="1">
      <c r="A32" s="371" t="s">
        <v>283</v>
      </c>
      <c r="C32" s="491">
        <f>SUM(B29:B32)+1</f>
        <v>1418920.1500000008</v>
      </c>
    </row>
    <row r="33" spans="1:3" ht="15" customHeight="1">
      <c r="A33" s="371"/>
      <c r="C33" s="815"/>
    </row>
    <row r="34" spans="1:3" ht="15" customHeight="1" thickBot="1">
      <c r="A34" s="816" t="s">
        <v>473</v>
      </c>
      <c r="B34" s="382"/>
      <c r="C34" s="567">
        <f>C28+C32</f>
        <v>-7420002.570000004</v>
      </c>
    </row>
    <row r="35" spans="2:3" s="14" customFormat="1" ht="15" customHeight="1" thickTop="1">
      <c r="B35" s="256"/>
      <c r="C35" s="127"/>
    </row>
    <row r="36" ht="15" customHeight="1">
      <c r="C36" s="349"/>
    </row>
    <row r="39" s="127" customFormat="1" ht="15" customHeight="1"/>
  </sheetData>
  <mergeCells count="4">
    <mergeCell ref="A4:E4"/>
    <mergeCell ref="A2:C2"/>
    <mergeCell ref="A1:E1"/>
    <mergeCell ref="A3:E3"/>
  </mergeCells>
  <printOptions horizontalCentered="1"/>
  <pageMargins left="0.5" right="0.5" top="0.5" bottom="0.5" header="0.25" footer="0.25"/>
  <pageSetup orientation="portrait" scale="80" r:id="rId1"/>
  <headerFooter alignWithMargins="0">
    <oddFooter>&amp;C&amp;"Century Schoolbook,Regular"Page 2&amp;"Arial,Regular"
</oddFooter>
  </headerFooter>
</worksheet>
</file>

<file path=xl/worksheets/sheet6.xml><?xml version="1.0" encoding="utf-8"?>
<worksheet xmlns="http://schemas.openxmlformats.org/spreadsheetml/2006/main" xmlns:r="http://schemas.openxmlformats.org/officeDocument/2006/relationships">
  <dimension ref="A1:I83"/>
  <sheetViews>
    <sheetView zoomScale="75" zoomScaleNormal="75" workbookViewId="0" topLeftCell="A1">
      <selection activeCell="A1" sqref="A1:G1"/>
    </sheetView>
  </sheetViews>
  <sheetFormatPr defaultColWidth="9.140625" defaultRowHeight="15" customHeight="1"/>
  <cols>
    <col min="1" max="1" width="45.7109375" style="31" customWidth="1"/>
    <col min="2" max="3" width="15.7109375" style="255" customWidth="1"/>
    <col min="4" max="5" width="15.7109375" style="347" customWidth="1"/>
    <col min="6" max="6" width="16.28125" style="347" bestFit="1" customWidth="1"/>
    <col min="7" max="7" width="14.7109375" style="348" bestFit="1" customWidth="1"/>
    <col min="8" max="16384" width="15.7109375" style="31" customWidth="1"/>
  </cols>
  <sheetData>
    <row r="1" spans="1:7" s="240" customFormat="1" ht="24.75" customHeight="1">
      <c r="A1" s="929" t="s">
        <v>251</v>
      </c>
      <c r="B1" s="929"/>
      <c r="C1" s="929"/>
      <c r="D1" s="929"/>
      <c r="E1" s="929"/>
      <c r="F1" s="929"/>
      <c r="G1" s="929"/>
    </row>
    <row r="2" spans="1:7" s="27" customFormat="1" ht="15" customHeight="1">
      <c r="A2" s="930"/>
      <c r="B2" s="930"/>
      <c r="C2" s="930"/>
      <c r="D2" s="930"/>
      <c r="E2" s="930"/>
      <c r="F2" s="930"/>
      <c r="G2" s="930"/>
    </row>
    <row r="3" spans="1:7" s="817" customFormat="1" ht="15" customHeight="1">
      <c r="A3" s="931" t="s">
        <v>284</v>
      </c>
      <c r="B3" s="931"/>
      <c r="C3" s="931"/>
      <c r="D3" s="931"/>
      <c r="E3" s="931"/>
      <c r="F3" s="931"/>
      <c r="G3" s="931"/>
    </row>
    <row r="4" spans="1:7" s="817" customFormat="1" ht="15" customHeight="1">
      <c r="A4" s="931" t="s">
        <v>471</v>
      </c>
      <c r="B4" s="931"/>
      <c r="C4" s="931"/>
      <c r="D4" s="931"/>
      <c r="E4" s="931"/>
      <c r="F4" s="931"/>
      <c r="G4" s="931"/>
    </row>
    <row r="5" spans="1:7" s="29" customFormat="1" ht="15" customHeight="1">
      <c r="A5" s="383"/>
      <c r="B5" s="791"/>
      <c r="C5" s="791"/>
      <c r="D5" s="792"/>
      <c r="E5" s="793"/>
      <c r="F5" s="793"/>
      <c r="G5" s="794"/>
    </row>
    <row r="6" spans="1:7" s="819" customFormat="1" ht="30" customHeight="1">
      <c r="A6" s="818"/>
      <c r="B6" s="877" t="s">
        <v>465</v>
      </c>
      <c r="C6" s="877" t="s">
        <v>193</v>
      </c>
      <c r="D6" s="877" t="s">
        <v>42</v>
      </c>
      <c r="E6" s="878" t="s">
        <v>46</v>
      </c>
      <c r="F6" s="878" t="s">
        <v>466</v>
      </c>
      <c r="G6" s="795" t="s">
        <v>252</v>
      </c>
    </row>
    <row r="7" spans="1:7" s="823" customFormat="1" ht="15" customHeight="1">
      <c r="A7" s="820" t="s">
        <v>286</v>
      </c>
      <c r="B7" s="821"/>
      <c r="C7" s="821"/>
      <c r="D7" s="822"/>
      <c r="E7" s="822"/>
      <c r="F7" s="822"/>
      <c r="G7" s="822"/>
    </row>
    <row r="8" spans="1:7" s="827" customFormat="1" ht="15" customHeight="1">
      <c r="A8" s="824" t="s">
        <v>287</v>
      </c>
      <c r="B8" s="825">
        <f>'Premiums QTD-5'!B12</f>
        <v>5514185</v>
      </c>
      <c r="C8" s="825">
        <f>'Premiums QTD-5'!C12</f>
        <v>-43525</v>
      </c>
      <c r="D8" s="825">
        <f>'Premiums QTD-5'!D12</f>
        <v>-3624</v>
      </c>
      <c r="E8" s="826">
        <f>'Premiums QTD-5'!E12</f>
        <v>0</v>
      </c>
      <c r="F8" s="826">
        <f>'Premiums QTD-5'!F12</f>
        <v>0</v>
      </c>
      <c r="G8" s="825">
        <f>SUM(B8:F8)</f>
        <v>5467036</v>
      </c>
    </row>
    <row r="9" spans="1:7" s="827" customFormat="1" ht="15" customHeight="1">
      <c r="A9" s="824" t="s">
        <v>288</v>
      </c>
      <c r="B9" s="826">
        <f>'Earned Incurred QTD-4'!C48</f>
        <v>66370.29000000001</v>
      </c>
      <c r="C9" s="826">
        <v>0</v>
      </c>
      <c r="D9" s="826">
        <v>0</v>
      </c>
      <c r="E9" s="826">
        <v>0</v>
      </c>
      <c r="F9" s="826">
        <v>0</v>
      </c>
      <c r="G9" s="826">
        <f>SUM(B9:F9)</f>
        <v>66370.29000000001</v>
      </c>
    </row>
    <row r="10" spans="1:7" s="827" customFormat="1" ht="15" customHeight="1" thickBot="1">
      <c r="A10" s="828" t="s">
        <v>289</v>
      </c>
      <c r="B10" s="829">
        <f aca="true" t="shared" si="0" ref="B10:G10">SUM(B8:B9)</f>
        <v>5580555.29</v>
      </c>
      <c r="C10" s="829">
        <f t="shared" si="0"/>
        <v>-43525</v>
      </c>
      <c r="D10" s="829">
        <f t="shared" si="0"/>
        <v>-3624</v>
      </c>
      <c r="E10" s="830">
        <f t="shared" si="0"/>
        <v>0</v>
      </c>
      <c r="F10" s="830">
        <f t="shared" si="0"/>
        <v>0</v>
      </c>
      <c r="G10" s="831">
        <f t="shared" si="0"/>
        <v>5533406.29</v>
      </c>
    </row>
    <row r="11" spans="1:7" s="827" customFormat="1" ht="15" customHeight="1" thickTop="1">
      <c r="A11" s="828"/>
      <c r="B11" s="832"/>
      <c r="C11" s="832"/>
      <c r="D11" s="832"/>
      <c r="E11" s="826"/>
      <c r="F11" s="826"/>
      <c r="G11" s="826"/>
    </row>
    <row r="12" spans="1:7" s="827" customFormat="1" ht="15" customHeight="1">
      <c r="A12" s="820" t="s">
        <v>290</v>
      </c>
      <c r="B12" s="822"/>
      <c r="C12" s="822"/>
      <c r="D12" s="822"/>
      <c r="E12" s="833"/>
      <c r="F12" s="833"/>
      <c r="G12" s="826"/>
    </row>
    <row r="13" spans="1:7" s="827" customFormat="1" ht="15" customHeight="1">
      <c r="A13" s="828" t="s">
        <v>291</v>
      </c>
      <c r="B13" s="826">
        <f>'Losses Incurred QTD-6'!B13</f>
        <v>2805.44</v>
      </c>
      <c r="C13" s="826">
        <f>'Losses Incurred QTD-6'!C13</f>
        <v>2864242.72</v>
      </c>
      <c r="D13" s="826">
        <f>'Losses Incurred QTD-6'!D13</f>
        <v>915549.21</v>
      </c>
      <c r="E13" s="826">
        <f>'Losses Incurred QTD-6'!E13</f>
        <v>-94203.20999999999</v>
      </c>
      <c r="F13" s="826">
        <f>'Losses Incurred QTD-6'!F13</f>
        <v>-100000</v>
      </c>
      <c r="G13" s="826">
        <f>SUM(B13:F13)</f>
        <v>3588394.16</v>
      </c>
    </row>
    <row r="14" spans="1:7" s="827" customFormat="1" ht="15" customHeight="1">
      <c r="A14" s="828" t="s">
        <v>292</v>
      </c>
      <c r="B14" s="826">
        <f>'[11]Loss Expenses QTD-10'!D37</f>
        <v>2602.3500000000004</v>
      </c>
      <c r="C14" s="826">
        <f>'[11]Loss Expenses QTD-10'!D31</f>
        <v>205464.96000000002</v>
      </c>
      <c r="D14" s="826">
        <f>'[11]Loss Expenses QTD-10'!D25</f>
        <v>56512.89</v>
      </c>
      <c r="E14" s="826">
        <f>'[11]Loss Expenses QTD-10'!D19</f>
        <v>24186.46</v>
      </c>
      <c r="F14" s="826">
        <f>'[11]Loss Expenses QTD-10'!D13</f>
        <v>5728.14</v>
      </c>
      <c r="G14" s="826">
        <f aca="true" t="shared" si="1" ref="G14:G21">SUM(B14:F14)</f>
        <v>294494.80000000005</v>
      </c>
    </row>
    <row r="15" spans="1:8" s="827" customFormat="1" ht="15" customHeight="1">
      <c r="A15" s="828" t="s">
        <v>293</v>
      </c>
      <c r="B15" s="826">
        <f>'[11]Loss Expenses QTD-10'!J37</f>
        <v>100.21</v>
      </c>
      <c r="C15" s="826">
        <f>'[11]Loss Expenses QTD-10'!J31+1</f>
        <v>102432.6</v>
      </c>
      <c r="D15" s="826">
        <f>'[11]Loss Expenses QTD-10'!J25</f>
        <v>33616.08</v>
      </c>
      <c r="E15" s="826">
        <f>'[11]Loss Expenses QTD-10'!J19</f>
        <v>37.95</v>
      </c>
      <c r="F15" s="826">
        <f>'[11]Loss Expenses QTD-10'!J13</f>
        <v>0</v>
      </c>
      <c r="G15" s="826">
        <f>SUM(B15:F15)-1</f>
        <v>136185.84000000003</v>
      </c>
      <c r="H15" s="835"/>
    </row>
    <row r="16" spans="1:7" s="827" customFormat="1" ht="15" customHeight="1">
      <c r="A16" s="828" t="s">
        <v>294</v>
      </c>
      <c r="B16" s="826">
        <f>'[11]1Q05 Trial Balance'!D408</f>
        <v>13564.84</v>
      </c>
      <c r="C16" s="826">
        <v>0</v>
      </c>
      <c r="D16" s="826">
        <v>0</v>
      </c>
      <c r="E16" s="826">
        <v>0</v>
      </c>
      <c r="F16" s="826">
        <v>0</v>
      </c>
      <c r="G16" s="826">
        <f t="shared" si="1"/>
        <v>13564.84</v>
      </c>
    </row>
    <row r="17" spans="1:7" s="827" customFormat="1" ht="15" customHeight="1">
      <c r="A17" s="834" t="s">
        <v>295</v>
      </c>
      <c r="B17" s="826">
        <f>'[11]1Q05 Trial Balance'!D414+'[11]1Q05 Trial Balance'!C412</f>
        <v>64391.64</v>
      </c>
      <c r="C17" s="826">
        <v>0</v>
      </c>
      <c r="D17" s="826">
        <v>0</v>
      </c>
      <c r="E17" s="826">
        <v>0</v>
      </c>
      <c r="F17" s="826">
        <v>0</v>
      </c>
      <c r="G17" s="826">
        <f t="shared" si="1"/>
        <v>64391.64</v>
      </c>
    </row>
    <row r="18" spans="1:8" s="827" customFormat="1" ht="15" customHeight="1">
      <c r="A18" s="828" t="s">
        <v>297</v>
      </c>
      <c r="B18" s="826">
        <f>'[11]1Q05 Trial Balance'!D410</f>
        <v>3093.75</v>
      </c>
      <c r="C18" s="826">
        <v>0</v>
      </c>
      <c r="D18" s="826">
        <v>0</v>
      </c>
      <c r="E18" s="826">
        <v>0</v>
      </c>
      <c r="F18" s="826">
        <v>0</v>
      </c>
      <c r="G18" s="826">
        <f t="shared" si="1"/>
        <v>3093.75</v>
      </c>
      <c r="H18" s="835"/>
    </row>
    <row r="19" spans="1:7" s="827" customFormat="1" ht="15" customHeight="1">
      <c r="A19" s="834" t="s">
        <v>296</v>
      </c>
      <c r="B19" s="826">
        <f>'[11]1Q05 Trial Balance'!D403+'[11]1Q05 Trial Balance'!D393</f>
        <v>492829.00000000006</v>
      </c>
      <c r="C19" s="826">
        <f>'[11]1Q05 Trial Balance'!D389+'[11]1Q05 Trial Balance'!D399</f>
        <v>-2326.6000000000004</v>
      </c>
      <c r="D19" s="826">
        <f>'[11]1Q05 Trial Balance'!D385+'[11]1Q05 Trial Balance'!D395</f>
        <v>-339.29999999999995</v>
      </c>
      <c r="E19" s="826">
        <v>0</v>
      </c>
      <c r="F19" s="826">
        <v>0</v>
      </c>
      <c r="G19" s="826">
        <f t="shared" si="1"/>
        <v>490163.1000000001</v>
      </c>
    </row>
    <row r="20" spans="1:7" s="827" customFormat="1" ht="15" customHeight="1">
      <c r="A20" s="828" t="s">
        <v>298</v>
      </c>
      <c r="B20" s="826">
        <f>'Earned Incurred QTD-4'!C39</f>
        <v>947739.6799999998</v>
      </c>
      <c r="C20" s="826">
        <v>0</v>
      </c>
      <c r="D20" s="826">
        <v>0</v>
      </c>
      <c r="E20" s="826">
        <v>0</v>
      </c>
      <c r="F20" s="826">
        <v>0</v>
      </c>
      <c r="G20" s="826">
        <f t="shared" si="1"/>
        <v>947739.6799999998</v>
      </c>
    </row>
    <row r="21" spans="1:9" s="827" customFormat="1" ht="15" customHeight="1">
      <c r="A21" s="828" t="s">
        <v>96</v>
      </c>
      <c r="B21" s="826">
        <f>31445.25</f>
        <v>31445.25</v>
      </c>
      <c r="C21" s="826">
        <v>-1982</v>
      </c>
      <c r="D21" s="826">
        <v>0</v>
      </c>
      <c r="E21" s="826">
        <v>0</v>
      </c>
      <c r="F21" s="826">
        <v>0</v>
      </c>
      <c r="G21" s="826">
        <f t="shared" si="1"/>
        <v>29463.25</v>
      </c>
      <c r="H21" s="835"/>
      <c r="I21" s="835"/>
    </row>
    <row r="22" spans="1:7" s="827" customFormat="1" ht="15" customHeight="1" thickBot="1">
      <c r="A22" s="828" t="s">
        <v>289</v>
      </c>
      <c r="B22" s="829">
        <f>SUM(B13:B21)</f>
        <v>1558572.16</v>
      </c>
      <c r="C22" s="829">
        <f>SUM(C13:C21)</f>
        <v>3167831.68</v>
      </c>
      <c r="D22" s="829">
        <f>SUM(D13:D21)</f>
        <v>1005338.8799999999</v>
      </c>
      <c r="E22" s="829">
        <f>SUM(E13:E21)</f>
        <v>-69978.8</v>
      </c>
      <c r="F22" s="829">
        <f>SUM(F13:F21)</f>
        <v>-94271.86</v>
      </c>
      <c r="G22" s="831">
        <f>SUM(G13:G21)+1</f>
        <v>5567492.06</v>
      </c>
    </row>
    <row r="23" spans="1:7" s="827" customFormat="1" ht="15" customHeight="1" thickTop="1">
      <c r="A23" s="828"/>
      <c r="B23" s="832"/>
      <c r="C23" s="832"/>
      <c r="D23" s="832"/>
      <c r="E23" s="826"/>
      <c r="F23" s="826"/>
      <c r="G23" s="826"/>
    </row>
    <row r="24" spans="1:7" s="827" customFormat="1" ht="15" customHeight="1" thickBot="1">
      <c r="A24" s="836" t="s">
        <v>299</v>
      </c>
      <c r="B24" s="837">
        <f>B10-B22</f>
        <v>4021983.13</v>
      </c>
      <c r="C24" s="837">
        <f>C10-C22</f>
        <v>-3211356.68</v>
      </c>
      <c r="D24" s="837">
        <f>D10-D22</f>
        <v>-1008962.8799999999</v>
      </c>
      <c r="E24" s="837">
        <f>E10-E22</f>
        <v>69978.8</v>
      </c>
      <c r="F24" s="837">
        <f>F10-F22</f>
        <v>94271.86</v>
      </c>
      <c r="G24" s="831">
        <f>SUM(B24:F24)-1</f>
        <v>-34086.770000000164</v>
      </c>
    </row>
    <row r="25" spans="1:7" s="827" customFormat="1" ht="15" customHeight="1" thickTop="1">
      <c r="A25" s="828"/>
      <c r="B25" s="832"/>
      <c r="C25" s="832"/>
      <c r="D25" s="832"/>
      <c r="E25" s="826"/>
      <c r="F25" s="826"/>
      <c r="G25" s="826"/>
    </row>
    <row r="26" spans="1:7" s="827" customFormat="1" ht="15" customHeight="1">
      <c r="A26" s="820" t="s">
        <v>300</v>
      </c>
      <c r="B26" s="822"/>
      <c r="C26" s="822"/>
      <c r="D26" s="822"/>
      <c r="E26" s="833"/>
      <c r="F26" s="833"/>
      <c r="G26" s="826"/>
    </row>
    <row r="27" spans="1:7" s="827" customFormat="1" ht="15" customHeight="1">
      <c r="A27" s="828" t="s">
        <v>301</v>
      </c>
      <c r="B27" s="826">
        <v>0</v>
      </c>
      <c r="C27" s="826">
        <f>'Earned Incurred QTD-4'!B50</f>
        <v>45849.92</v>
      </c>
      <c r="D27" s="826">
        <v>0</v>
      </c>
      <c r="E27" s="826">
        <v>0</v>
      </c>
      <c r="F27" s="826">
        <v>0</v>
      </c>
      <c r="G27" s="826">
        <f>SUM(B27:F27)</f>
        <v>45849.92</v>
      </c>
    </row>
    <row r="28" spans="1:7" s="827" customFormat="1" ht="15" customHeight="1">
      <c r="A28" s="828" t="s">
        <v>302</v>
      </c>
      <c r="B28" s="826">
        <f>'Balance Sheet-1'!D13</f>
        <v>390109.94000000006</v>
      </c>
      <c r="C28" s="826">
        <v>0</v>
      </c>
      <c r="D28" s="826">
        <v>0</v>
      </c>
      <c r="E28" s="826">
        <v>0</v>
      </c>
      <c r="F28" s="826">
        <v>0</v>
      </c>
      <c r="G28" s="826">
        <f>SUM(B28:F28)</f>
        <v>390109.94000000006</v>
      </c>
    </row>
    <row r="29" spans="1:7" s="827" customFormat="1" ht="15" customHeight="1" thickBot="1">
      <c r="A29" s="828" t="s">
        <v>289</v>
      </c>
      <c r="B29" s="830">
        <f aca="true" t="shared" si="2" ref="B29:G29">SUM(B27:B28)</f>
        <v>390109.94000000006</v>
      </c>
      <c r="C29" s="830">
        <f t="shared" si="2"/>
        <v>45849.92</v>
      </c>
      <c r="D29" s="830">
        <f t="shared" si="2"/>
        <v>0</v>
      </c>
      <c r="E29" s="830">
        <f t="shared" si="2"/>
        <v>0</v>
      </c>
      <c r="F29" s="830">
        <f t="shared" si="2"/>
        <v>0</v>
      </c>
      <c r="G29" s="831">
        <f t="shared" si="2"/>
        <v>435959.86000000004</v>
      </c>
    </row>
    <row r="30" spans="1:7" s="827" customFormat="1" ht="15" customHeight="1" thickTop="1">
      <c r="A30" s="828"/>
      <c r="B30" s="832"/>
      <c r="C30" s="832"/>
      <c r="D30" s="832"/>
      <c r="E30" s="826"/>
      <c r="F30" s="826"/>
      <c r="G30" s="826"/>
    </row>
    <row r="31" spans="1:7" s="827" customFormat="1" ht="15" customHeight="1">
      <c r="A31" s="820" t="s">
        <v>303</v>
      </c>
      <c r="B31" s="822"/>
      <c r="C31" s="822"/>
      <c r="D31" s="822"/>
      <c r="E31" s="833"/>
      <c r="F31" s="833"/>
      <c r="G31" s="826"/>
    </row>
    <row r="32" spans="1:7" s="827" customFormat="1" ht="15" customHeight="1">
      <c r="A32" s="828" t="s">
        <v>304</v>
      </c>
      <c r="B32" s="826">
        <f>'Earned Incurred QTD-4'!B49</f>
        <v>72229.78</v>
      </c>
      <c r="C32" s="826">
        <v>0</v>
      </c>
      <c r="D32" s="826">
        <v>0</v>
      </c>
      <c r="E32" s="826">
        <v>0</v>
      </c>
      <c r="F32" s="826">
        <v>0</v>
      </c>
      <c r="G32" s="826">
        <f>SUM(B32:F32)</f>
        <v>72229.78</v>
      </c>
    </row>
    <row r="33" spans="1:8" s="827" customFormat="1" ht="15" customHeight="1">
      <c r="A33" s="828" t="s">
        <v>305</v>
      </c>
      <c r="B33" s="826">
        <v>0</v>
      </c>
      <c r="C33" s="826">
        <v>326387.48</v>
      </c>
      <c r="D33" s="826">
        <v>0</v>
      </c>
      <c r="E33" s="826">
        <v>0</v>
      </c>
      <c r="F33" s="826">
        <v>0</v>
      </c>
      <c r="G33" s="826">
        <f>SUM(B33:F33)</f>
        <v>326387.48</v>
      </c>
      <c r="H33" s="835"/>
    </row>
    <row r="34" spans="1:7" s="827" customFormat="1" ht="15" customHeight="1" thickBot="1">
      <c r="A34" s="828" t="s">
        <v>289</v>
      </c>
      <c r="B34" s="830">
        <f aca="true" t="shared" si="3" ref="B34:G34">SUM(B32:B33)</f>
        <v>72229.78</v>
      </c>
      <c r="C34" s="830">
        <f t="shared" si="3"/>
        <v>326387.48</v>
      </c>
      <c r="D34" s="830">
        <f t="shared" si="3"/>
        <v>0</v>
      </c>
      <c r="E34" s="830">
        <f t="shared" si="3"/>
        <v>0</v>
      </c>
      <c r="F34" s="830">
        <f t="shared" si="3"/>
        <v>0</v>
      </c>
      <c r="G34" s="831">
        <f t="shared" si="3"/>
        <v>398617.26</v>
      </c>
    </row>
    <row r="35" spans="1:7" s="827" customFormat="1" ht="15" customHeight="1" thickTop="1">
      <c r="A35" s="828"/>
      <c r="B35" s="832"/>
      <c r="C35" s="832"/>
      <c r="D35" s="832"/>
      <c r="E35" s="826"/>
      <c r="F35" s="826"/>
      <c r="G35" s="838"/>
    </row>
    <row r="36" spans="1:7" s="827" customFormat="1" ht="15" customHeight="1" thickBot="1">
      <c r="A36" s="820" t="s">
        <v>306</v>
      </c>
      <c r="B36" s="837">
        <f>B24-B29+B34</f>
        <v>3704102.9699999997</v>
      </c>
      <c r="C36" s="837">
        <f>C24-C29+C34-1</f>
        <v>-2930820.12</v>
      </c>
      <c r="D36" s="837">
        <f>D24-D29+D34</f>
        <v>-1008962.8799999999</v>
      </c>
      <c r="E36" s="837">
        <f>E24-E29+E34</f>
        <v>69978.8</v>
      </c>
      <c r="F36" s="837">
        <f>F24-F29+F34</f>
        <v>94271.86</v>
      </c>
      <c r="G36" s="831">
        <f>SUM(B36:F36)-1</f>
        <v>-71430.37000000027</v>
      </c>
    </row>
    <row r="37" spans="1:7" s="827" customFormat="1" ht="15" customHeight="1" thickTop="1">
      <c r="A37" s="828"/>
      <c r="B37" s="832"/>
      <c r="C37" s="832"/>
      <c r="D37" s="832"/>
      <c r="E37" s="826"/>
      <c r="F37" s="826"/>
      <c r="G37" s="826"/>
    </row>
    <row r="38" spans="1:7" s="827" customFormat="1" ht="15" customHeight="1">
      <c r="A38" s="839" t="s">
        <v>100</v>
      </c>
      <c r="B38" s="840"/>
      <c r="C38" s="840"/>
      <c r="D38" s="840"/>
      <c r="E38" s="826"/>
      <c r="F38" s="826"/>
      <c r="G38" s="826"/>
    </row>
    <row r="39" spans="1:7" s="827" customFormat="1" ht="15" customHeight="1">
      <c r="A39" s="828" t="s">
        <v>264</v>
      </c>
      <c r="B39" s="826">
        <f>'Premiums QTD-5'!B18</f>
        <v>4829843</v>
      </c>
      <c r="C39" s="826">
        <f>'Premiums QTD-5'!C18</f>
        <v>6709021</v>
      </c>
      <c r="D39" s="826">
        <f>'Premiums QTD-5'!D18</f>
        <v>0</v>
      </c>
      <c r="E39" s="826">
        <f>'Premiums QTD-5'!E18</f>
        <v>0</v>
      </c>
      <c r="F39" s="826">
        <f>'Premiums QTD-5'!F18</f>
        <v>0</v>
      </c>
      <c r="G39" s="826">
        <f>SUM(B39:F39)</f>
        <v>11538864</v>
      </c>
    </row>
    <row r="40" spans="1:7" s="827" customFormat="1" ht="15" customHeight="1">
      <c r="A40" s="828" t="s">
        <v>307</v>
      </c>
      <c r="B40" s="826">
        <f>'Losses Incurred QTD-6'!B19+'Losses Incurred QTD-6'!B25</f>
        <v>2015175</v>
      </c>
      <c r="C40" s="826">
        <f>'Losses Incurred QTD-6'!C19+'Losses Incurred QTD-6'!C25</f>
        <v>2662600.3899999997</v>
      </c>
      <c r="D40" s="826">
        <f>'Losses Incurred QTD-6'!D19+'Losses Incurred QTD-6'!D25</f>
        <v>402490.4</v>
      </c>
      <c r="E40" s="826">
        <f>'Losses Incurred QTD-6'!E19+'Losses Incurred QTD-6'!E25</f>
        <v>185282</v>
      </c>
      <c r="F40" s="826">
        <f>'Losses Incurred QTD-6'!F19+'Losses Incurred QTD-6'!F25</f>
        <v>142622.82</v>
      </c>
      <c r="G40" s="826">
        <f>SUM(B40:F40)</f>
        <v>5408170.61</v>
      </c>
    </row>
    <row r="41" spans="1:7" s="827" customFormat="1" ht="15" customHeight="1">
      <c r="A41" s="828" t="s">
        <v>308</v>
      </c>
      <c r="B41" s="826">
        <f>'Loss Expenses QTD-7'!B19</f>
        <v>229524.27000000002</v>
      </c>
      <c r="C41" s="826">
        <f>'Loss Expenses QTD-7'!C19</f>
        <v>235745.58</v>
      </c>
      <c r="D41" s="826">
        <f>'Loss Expenses QTD-7'!D19</f>
        <v>88946.71</v>
      </c>
      <c r="E41" s="826">
        <f>'Loss Expenses QTD-7'!E19</f>
        <v>24534.219999999998</v>
      </c>
      <c r="F41" s="826">
        <f>'Loss Expenses QTD-7'!F19</f>
        <v>18943.12</v>
      </c>
      <c r="G41" s="826">
        <f>SUM(B41:F41)</f>
        <v>597693.8999999999</v>
      </c>
    </row>
    <row r="42" spans="1:7" s="827" customFormat="1" ht="15" customHeight="1">
      <c r="A42" s="828" t="s">
        <v>309</v>
      </c>
      <c r="B42" s="826">
        <f>'Earned Incurred QTD-4'!B41</f>
        <v>301586.77</v>
      </c>
      <c r="C42" s="826">
        <v>0</v>
      </c>
      <c r="D42" s="826">
        <v>0</v>
      </c>
      <c r="E42" s="826">
        <v>0</v>
      </c>
      <c r="F42" s="826">
        <v>0</v>
      </c>
      <c r="G42" s="826">
        <f>SUM(B42:F42)</f>
        <v>301586.77</v>
      </c>
    </row>
    <row r="43" spans="1:7" s="827" customFormat="1" ht="15" customHeight="1">
      <c r="A43" s="828" t="s">
        <v>310</v>
      </c>
      <c r="B43" s="826">
        <f>'Earned Incurred QTD-4'!B33</f>
        <v>50945.26</v>
      </c>
      <c r="C43" s="826">
        <v>0</v>
      </c>
      <c r="D43" s="826">
        <v>0</v>
      </c>
      <c r="E43" s="826">
        <v>0</v>
      </c>
      <c r="F43" s="826">
        <v>0</v>
      </c>
      <c r="G43" s="826">
        <f>SUM(B43:F43)</f>
        <v>50945.26</v>
      </c>
    </row>
    <row r="44" spans="1:7" s="827" customFormat="1" ht="15" customHeight="1" thickBot="1">
      <c r="A44" s="841" t="s">
        <v>289</v>
      </c>
      <c r="B44" s="830">
        <f aca="true" t="shared" si="4" ref="B44:G44">SUM(B39:B43)</f>
        <v>7427074.299999999</v>
      </c>
      <c r="C44" s="830">
        <f t="shared" si="4"/>
        <v>9607366.97</v>
      </c>
      <c r="D44" s="830">
        <f t="shared" si="4"/>
        <v>491437.11000000004</v>
      </c>
      <c r="E44" s="830">
        <f t="shared" si="4"/>
        <v>209816.22</v>
      </c>
      <c r="F44" s="830">
        <f t="shared" si="4"/>
        <v>161565.94</v>
      </c>
      <c r="G44" s="831">
        <f t="shared" si="4"/>
        <v>17897260.54</v>
      </c>
    </row>
    <row r="45" spans="1:7" s="827" customFormat="1" ht="15" customHeight="1" thickTop="1">
      <c r="A45" s="828"/>
      <c r="B45" s="832"/>
      <c r="C45" s="832"/>
      <c r="D45" s="832"/>
      <c r="E45" s="826"/>
      <c r="F45" s="826"/>
      <c r="G45" s="826"/>
    </row>
    <row r="46" spans="1:7" s="827" customFormat="1" ht="15" customHeight="1">
      <c r="A46" s="839" t="s">
        <v>101</v>
      </c>
      <c r="B46" s="840"/>
      <c r="C46" s="840"/>
      <c r="D46" s="840"/>
      <c r="E46" s="826"/>
      <c r="F46" s="826"/>
      <c r="G46" s="826"/>
    </row>
    <row r="47" spans="1:7" s="827" customFormat="1" ht="15" customHeight="1">
      <c r="A47" s="828" t="s">
        <v>264</v>
      </c>
      <c r="B47" s="826">
        <f>'Premiums QTD-5'!B24</f>
        <v>0</v>
      </c>
      <c r="C47" s="826">
        <f>'Premiums QTD-5'!C24</f>
        <v>11919572</v>
      </c>
      <c r="D47" s="826">
        <f>'Premiums QTD-5'!D24</f>
        <v>0</v>
      </c>
      <c r="E47" s="826">
        <f>'Premiums QTD-5'!E24</f>
        <v>0</v>
      </c>
      <c r="F47" s="826">
        <f>'Premiums QTD-5'!F24</f>
        <v>0</v>
      </c>
      <c r="G47" s="826">
        <f aca="true" t="shared" si="5" ref="G47:G52">SUM(B47:F47)</f>
        <v>11919572</v>
      </c>
    </row>
    <row r="48" spans="1:7" s="827" customFormat="1" ht="15" customHeight="1">
      <c r="A48" s="828" t="s">
        <v>307</v>
      </c>
      <c r="B48" s="826">
        <f>'Losses Incurred QTD-6'!B32</f>
        <v>0</v>
      </c>
      <c r="C48" s="826">
        <f>'Losses Incurred QTD-6'!C32</f>
        <v>4732722.12</v>
      </c>
      <c r="D48" s="826">
        <f>'Losses Incurred QTD-6'!D32</f>
        <v>1387504.74</v>
      </c>
      <c r="E48" s="826">
        <f>'Losses Incurred QTD-6'!E32</f>
        <v>230931</v>
      </c>
      <c r="F48" s="826">
        <f>'Losses Incurred QTD-6'!F32</f>
        <v>161319</v>
      </c>
      <c r="G48" s="826">
        <f t="shared" si="5"/>
        <v>6512476.86</v>
      </c>
    </row>
    <row r="49" spans="1:7" s="827" customFormat="1" ht="15" customHeight="1">
      <c r="A49" s="828" t="s">
        <v>311</v>
      </c>
      <c r="B49" s="826">
        <f>'Loss Expenses QTD-7'!B25</f>
        <v>0</v>
      </c>
      <c r="C49" s="826">
        <f>'Loss Expenses QTD-7'!C25</f>
        <v>427875.22</v>
      </c>
      <c r="D49" s="826">
        <f>'Loss Expenses QTD-7'!D25</f>
        <v>173901.02</v>
      </c>
      <c r="E49" s="826">
        <f>'Loss Expenses QTD-7'!E25</f>
        <v>27137.45</v>
      </c>
      <c r="F49" s="826">
        <f>'Loss Expenses QTD-7'!F25</f>
        <v>13666.1</v>
      </c>
      <c r="G49" s="826">
        <f>SUM(B49:F49)-1</f>
        <v>642578.7899999999</v>
      </c>
    </row>
    <row r="50" spans="1:7" s="827" customFormat="1" ht="15" customHeight="1">
      <c r="A50" s="828" t="s">
        <v>309</v>
      </c>
      <c r="B50" s="826">
        <v>0</v>
      </c>
      <c r="C50" s="826">
        <f>'Earned Incurred QTD-4'!B42</f>
        <v>251967.98</v>
      </c>
      <c r="D50" s="826">
        <v>0</v>
      </c>
      <c r="E50" s="826">
        <v>0</v>
      </c>
      <c r="F50" s="826">
        <v>0</v>
      </c>
      <c r="G50" s="826">
        <f t="shared" si="5"/>
        <v>251967.98</v>
      </c>
    </row>
    <row r="51" spans="1:7" s="827" customFormat="1" ht="15" customHeight="1">
      <c r="A51" s="828" t="s">
        <v>310</v>
      </c>
      <c r="B51" s="826">
        <v>0</v>
      </c>
      <c r="C51" s="826">
        <f>'Earned Incurred QTD-4'!B34</f>
        <v>61013.43</v>
      </c>
      <c r="D51" s="826">
        <v>0</v>
      </c>
      <c r="E51" s="826">
        <v>0</v>
      </c>
      <c r="F51" s="826">
        <v>0</v>
      </c>
      <c r="G51" s="826">
        <f t="shared" si="5"/>
        <v>61013.43</v>
      </c>
    </row>
    <row r="52" spans="1:7" s="827" customFormat="1" ht="15" customHeight="1" thickBot="1">
      <c r="A52" s="828" t="s">
        <v>289</v>
      </c>
      <c r="B52" s="830">
        <f>SUM(B47:B51)</f>
        <v>0</v>
      </c>
      <c r="C52" s="830">
        <f>SUM(C47:C51)-1</f>
        <v>17393149.75</v>
      </c>
      <c r="D52" s="830">
        <f>SUM(D47:D51)</f>
        <v>1561405.76</v>
      </c>
      <c r="E52" s="830">
        <f>SUM(E47:E51)</f>
        <v>258068.45</v>
      </c>
      <c r="F52" s="830">
        <f>SUM(F47:F51)</f>
        <v>174985.1</v>
      </c>
      <c r="G52" s="831">
        <f t="shared" si="5"/>
        <v>19387609.060000002</v>
      </c>
    </row>
    <row r="53" spans="1:7" s="827" customFormat="1" ht="15" customHeight="1" thickTop="1">
      <c r="A53" s="828"/>
      <c r="B53" s="832"/>
      <c r="C53" s="832"/>
      <c r="D53" s="832"/>
      <c r="E53" s="832"/>
      <c r="F53" s="832"/>
      <c r="G53" s="487" t="s">
        <v>92</v>
      </c>
    </row>
    <row r="54" spans="1:8" s="827" customFormat="1" ht="15" customHeight="1" thickBot="1">
      <c r="A54" s="836" t="s">
        <v>312</v>
      </c>
      <c r="B54" s="842">
        <f>B36-B44+B52</f>
        <v>-3722971.329999999</v>
      </c>
      <c r="C54" s="842">
        <f>C36-C44+C52</f>
        <v>4854962.66</v>
      </c>
      <c r="D54" s="842">
        <f>D36-D44+D52</f>
        <v>61005.77000000002</v>
      </c>
      <c r="E54" s="842">
        <f>E36-E44+E52</f>
        <v>118231.03000000003</v>
      </c>
      <c r="F54" s="842">
        <f>F36-F44+F52</f>
        <v>107691.02</v>
      </c>
      <c r="G54" s="842">
        <f>G36-G44+G52+2</f>
        <v>1418920.1500000022</v>
      </c>
      <c r="H54" s="835"/>
    </row>
    <row r="55" spans="1:7" s="827" customFormat="1" ht="15" customHeight="1" thickTop="1">
      <c r="A55" s="828"/>
      <c r="B55" s="835"/>
      <c r="C55" s="835"/>
      <c r="D55" s="832"/>
      <c r="E55" s="832"/>
      <c r="F55" s="832"/>
      <c r="G55" s="832"/>
    </row>
    <row r="56" spans="2:7" s="827" customFormat="1" ht="15" customHeight="1">
      <c r="B56" s="835"/>
      <c r="C56" s="835"/>
      <c r="D56" s="832"/>
      <c r="E56" s="832"/>
      <c r="F56" s="832"/>
      <c r="G56" s="832"/>
    </row>
    <row r="57" spans="2:7" s="827" customFormat="1" ht="15" customHeight="1">
      <c r="B57" s="835"/>
      <c r="C57" s="835"/>
      <c r="D57" s="832"/>
      <c r="E57" s="832"/>
      <c r="F57" s="832"/>
      <c r="G57" s="832"/>
    </row>
    <row r="58" spans="2:7" s="827" customFormat="1" ht="15" customHeight="1">
      <c r="B58" s="835"/>
      <c r="C58" s="835"/>
      <c r="D58" s="832"/>
      <c r="E58" s="832"/>
      <c r="F58" s="832"/>
      <c r="G58" s="832"/>
    </row>
    <row r="59" spans="1:7" s="827" customFormat="1" ht="15" customHeight="1">
      <c r="A59" s="823"/>
      <c r="B59" s="843"/>
      <c r="C59" s="843"/>
      <c r="D59" s="832"/>
      <c r="E59" s="832"/>
      <c r="F59" s="832"/>
      <c r="G59" s="832"/>
    </row>
    <row r="60" spans="2:7" s="827" customFormat="1" ht="15" customHeight="1">
      <c r="B60" s="835"/>
      <c r="C60" s="835"/>
      <c r="D60" s="832"/>
      <c r="E60" s="832"/>
      <c r="F60" s="832"/>
      <c r="G60" s="487"/>
    </row>
    <row r="61" spans="2:7" s="827" customFormat="1" ht="15" customHeight="1">
      <c r="B61" s="835"/>
      <c r="C61" s="835"/>
      <c r="D61" s="832"/>
      <c r="E61" s="832"/>
      <c r="F61" s="832"/>
      <c r="G61" s="487"/>
    </row>
    <row r="62" spans="2:7" s="827" customFormat="1" ht="15" customHeight="1">
      <c r="B62" s="835"/>
      <c r="C62" s="835"/>
      <c r="D62" s="832"/>
      <c r="E62" s="832"/>
      <c r="F62" s="832"/>
      <c r="G62" s="487"/>
    </row>
    <row r="63" spans="2:7" s="827" customFormat="1" ht="15" customHeight="1">
      <c r="B63" s="835"/>
      <c r="C63" s="835"/>
      <c r="D63" s="832"/>
      <c r="E63" s="832"/>
      <c r="F63" s="832"/>
      <c r="G63" s="487"/>
    </row>
    <row r="64" spans="2:7" s="827" customFormat="1" ht="15" customHeight="1">
      <c r="B64" s="835"/>
      <c r="C64" s="835"/>
      <c r="D64" s="832"/>
      <c r="E64" s="832"/>
      <c r="F64" s="832"/>
      <c r="G64" s="487"/>
    </row>
    <row r="65" spans="2:7" s="827" customFormat="1" ht="15" customHeight="1">
      <c r="B65" s="835"/>
      <c r="C65" s="835"/>
      <c r="D65" s="832"/>
      <c r="E65" s="832"/>
      <c r="F65" s="832"/>
      <c r="G65" s="487"/>
    </row>
    <row r="66" spans="2:7" s="827" customFormat="1" ht="15" customHeight="1">
      <c r="B66" s="835"/>
      <c r="C66" s="835"/>
      <c r="D66" s="832"/>
      <c r="E66" s="832"/>
      <c r="F66" s="832"/>
      <c r="G66" s="487"/>
    </row>
    <row r="67" spans="2:7" s="827" customFormat="1" ht="15" customHeight="1">
      <c r="B67" s="835"/>
      <c r="C67" s="835"/>
      <c r="D67" s="832"/>
      <c r="E67" s="832"/>
      <c r="F67" s="832"/>
      <c r="G67" s="487"/>
    </row>
    <row r="68" spans="2:7" s="827" customFormat="1" ht="15" customHeight="1">
      <c r="B68" s="835"/>
      <c r="C68" s="835"/>
      <c r="D68" s="832"/>
      <c r="E68" s="832"/>
      <c r="F68" s="832"/>
      <c r="G68" s="487"/>
    </row>
    <row r="69" spans="2:7" s="827" customFormat="1" ht="15" customHeight="1">
      <c r="B69" s="835"/>
      <c r="C69" s="835"/>
      <c r="D69" s="832"/>
      <c r="E69" s="832"/>
      <c r="F69" s="832"/>
      <c r="G69" s="487"/>
    </row>
    <row r="70" spans="2:7" s="827" customFormat="1" ht="15" customHeight="1">
      <c r="B70" s="835"/>
      <c r="C70" s="835"/>
      <c r="D70" s="832"/>
      <c r="E70" s="832"/>
      <c r="F70" s="832"/>
      <c r="G70" s="487"/>
    </row>
    <row r="71" spans="2:7" s="827" customFormat="1" ht="15" customHeight="1">
      <c r="B71" s="835"/>
      <c r="C71" s="835"/>
      <c r="D71" s="832"/>
      <c r="E71" s="832"/>
      <c r="F71" s="832"/>
      <c r="G71" s="487"/>
    </row>
    <row r="72" spans="2:7" s="827" customFormat="1" ht="15" customHeight="1">
      <c r="B72" s="835"/>
      <c r="C72" s="835"/>
      <c r="D72" s="832"/>
      <c r="E72" s="832"/>
      <c r="F72" s="832"/>
      <c r="G72" s="487"/>
    </row>
    <row r="73" spans="2:7" s="827" customFormat="1" ht="15" customHeight="1">
      <c r="B73" s="835"/>
      <c r="C73" s="835"/>
      <c r="D73" s="832"/>
      <c r="E73" s="832"/>
      <c r="F73" s="832"/>
      <c r="G73" s="487"/>
    </row>
    <row r="74" spans="2:7" s="827" customFormat="1" ht="15" customHeight="1">
      <c r="B74" s="835"/>
      <c r="C74" s="835"/>
      <c r="D74" s="832"/>
      <c r="E74" s="832"/>
      <c r="F74" s="832"/>
      <c r="G74" s="487"/>
    </row>
    <row r="75" spans="2:7" s="827" customFormat="1" ht="15" customHeight="1">
      <c r="B75" s="835"/>
      <c r="C75" s="835"/>
      <c r="D75" s="832"/>
      <c r="E75" s="832"/>
      <c r="F75" s="832"/>
      <c r="G75" s="487"/>
    </row>
    <row r="76" spans="2:7" s="827" customFormat="1" ht="15" customHeight="1">
      <c r="B76" s="835"/>
      <c r="C76" s="835"/>
      <c r="D76" s="832"/>
      <c r="E76" s="832"/>
      <c r="F76" s="832"/>
      <c r="G76" s="487"/>
    </row>
    <row r="77" spans="2:7" s="827" customFormat="1" ht="15" customHeight="1">
      <c r="B77" s="835"/>
      <c r="C77" s="835"/>
      <c r="D77" s="832"/>
      <c r="E77" s="832"/>
      <c r="F77" s="832"/>
      <c r="G77" s="487"/>
    </row>
    <row r="78" spans="2:7" s="827" customFormat="1" ht="15" customHeight="1">
      <c r="B78" s="835"/>
      <c r="C78" s="835"/>
      <c r="D78" s="832"/>
      <c r="E78" s="832"/>
      <c r="F78" s="832"/>
      <c r="G78" s="487"/>
    </row>
    <row r="79" spans="2:7" s="827" customFormat="1" ht="15" customHeight="1">
      <c r="B79" s="835"/>
      <c r="C79" s="835"/>
      <c r="D79" s="832"/>
      <c r="E79" s="832"/>
      <c r="F79" s="832"/>
      <c r="G79" s="487"/>
    </row>
    <row r="80" spans="2:7" s="827" customFormat="1" ht="15" customHeight="1">
      <c r="B80" s="835"/>
      <c r="C80" s="835"/>
      <c r="D80" s="832"/>
      <c r="E80" s="832"/>
      <c r="F80" s="832"/>
      <c r="G80" s="487"/>
    </row>
    <row r="81" spans="2:7" s="827" customFormat="1" ht="15" customHeight="1">
      <c r="B81" s="835"/>
      <c r="C81" s="835"/>
      <c r="D81" s="832"/>
      <c r="E81" s="832"/>
      <c r="F81" s="832"/>
      <c r="G81" s="487"/>
    </row>
    <row r="82" spans="2:7" s="827" customFormat="1" ht="15" customHeight="1">
      <c r="B82" s="835"/>
      <c r="C82" s="835"/>
      <c r="D82" s="832"/>
      <c r="E82" s="832"/>
      <c r="F82" s="832"/>
      <c r="G82" s="487"/>
    </row>
    <row r="83" spans="2:7" s="827" customFormat="1" ht="15" customHeight="1">
      <c r="B83" s="835"/>
      <c r="C83" s="835"/>
      <c r="D83" s="832"/>
      <c r="E83" s="832"/>
      <c r="F83" s="832"/>
      <c r="G83" s="487"/>
    </row>
  </sheetData>
  <mergeCells count="4">
    <mergeCell ref="A1:G1"/>
    <mergeCell ref="A2:G2"/>
    <mergeCell ref="A3:G3"/>
    <mergeCell ref="A4:G4"/>
  </mergeCells>
  <printOptions horizontalCentered="1"/>
  <pageMargins left="0.25" right="0.25" top="0.5" bottom="0.5" header="0.25" footer="0.25"/>
  <pageSetup horizontalDpi="300" verticalDpi="300" orientation="portrait" scale="70" r:id="rId1"/>
  <headerFooter alignWithMargins="0">
    <oddFooter>&amp;CPage 3
</oddFooter>
  </headerFooter>
</worksheet>
</file>

<file path=xl/worksheets/sheet7.xml><?xml version="1.0" encoding="utf-8"?>
<worksheet xmlns="http://schemas.openxmlformats.org/spreadsheetml/2006/main" xmlns:r="http://schemas.openxmlformats.org/officeDocument/2006/relationships">
  <dimension ref="A1:AB68"/>
  <sheetViews>
    <sheetView zoomScale="75" zoomScaleNormal="75" workbookViewId="0" topLeftCell="A1">
      <selection activeCell="A1" sqref="A1:IV16384"/>
    </sheetView>
  </sheetViews>
  <sheetFormatPr defaultColWidth="9.140625" defaultRowHeight="12.75"/>
  <cols>
    <col min="1" max="1" width="38.57421875" style="31" customWidth="1"/>
    <col min="2" max="5" width="15.8515625" style="347" customWidth="1"/>
    <col min="6" max="6" width="16.421875" style="348" customWidth="1"/>
    <col min="7" max="7" width="17.7109375" style="348" customWidth="1"/>
    <col min="8" max="8" width="17.7109375" style="44" customWidth="1"/>
    <col min="9" max="9" width="9.57421875" style="31" customWidth="1"/>
    <col min="10" max="10" width="13.421875" style="31" customWidth="1"/>
    <col min="11" max="16384" width="9.140625" style="31" customWidth="1"/>
  </cols>
  <sheetData>
    <row r="1" spans="1:8" s="242" customFormat="1" ht="25.5">
      <c r="A1" s="932" t="s">
        <v>251</v>
      </c>
      <c r="B1" s="932"/>
      <c r="C1" s="932"/>
      <c r="D1" s="932"/>
      <c r="E1" s="932"/>
      <c r="F1" s="932"/>
      <c r="G1" s="932"/>
      <c r="H1" s="241"/>
    </row>
    <row r="2" spans="1:8" s="27" customFormat="1" ht="18.75">
      <c r="A2" s="933"/>
      <c r="B2" s="933"/>
      <c r="C2" s="933"/>
      <c r="D2" s="933"/>
      <c r="E2" s="933"/>
      <c r="F2" s="933"/>
      <c r="G2" s="933"/>
      <c r="H2" s="1"/>
    </row>
    <row r="3" spans="1:8" s="29" customFormat="1" ht="18.75">
      <c r="A3" s="902" t="s">
        <v>284</v>
      </c>
      <c r="B3" s="902"/>
      <c r="C3" s="902"/>
      <c r="D3" s="902"/>
      <c r="E3" s="902"/>
      <c r="F3" s="902"/>
      <c r="G3" s="902"/>
      <c r="H3" s="28"/>
    </row>
    <row r="4" spans="1:8" s="29" customFormat="1" ht="18.75">
      <c r="A4" s="902" t="s">
        <v>8</v>
      </c>
      <c r="B4" s="902"/>
      <c r="C4" s="902"/>
      <c r="D4" s="902"/>
      <c r="E4" s="902"/>
      <c r="F4" s="902"/>
      <c r="G4" s="902"/>
      <c r="H4" s="28"/>
    </row>
    <row r="5" spans="1:8" s="29" customFormat="1" ht="18.75">
      <c r="A5" s="386"/>
      <c r="B5" s="387"/>
      <c r="C5" s="387"/>
      <c r="D5" s="387"/>
      <c r="E5" s="387"/>
      <c r="F5" s="388"/>
      <c r="G5" s="389"/>
      <c r="H5" s="28"/>
    </row>
    <row r="6" spans="1:8" ht="15">
      <c r="A6" s="390"/>
      <c r="B6" s="388"/>
      <c r="C6" s="388"/>
      <c r="D6" s="388"/>
      <c r="E6" s="388"/>
      <c r="F6" s="391"/>
      <c r="G6" s="392"/>
      <c r="H6" s="30"/>
    </row>
    <row r="7" spans="1:9" s="32" customFormat="1" ht="25.5">
      <c r="A7" s="393"/>
      <c r="B7" s="394" t="s">
        <v>42</v>
      </c>
      <c r="C7" s="394" t="s">
        <v>46</v>
      </c>
      <c r="D7" s="394" t="s">
        <v>142</v>
      </c>
      <c r="E7" s="394" t="s">
        <v>213</v>
      </c>
      <c r="F7" s="394" t="s">
        <v>97</v>
      </c>
      <c r="G7" s="394" t="s">
        <v>252</v>
      </c>
      <c r="H7" s="384"/>
      <c r="I7" s="32" t="s">
        <v>131</v>
      </c>
    </row>
    <row r="8" spans="1:8" s="34" customFormat="1" ht="12.75">
      <c r="A8" s="395" t="s">
        <v>286</v>
      </c>
      <c r="B8" s="396"/>
      <c r="C8" s="396"/>
      <c r="D8" s="396"/>
      <c r="E8" s="396"/>
      <c r="F8" s="396"/>
      <c r="G8" s="397"/>
      <c r="H8" s="33"/>
    </row>
    <row r="9" spans="1:9" ht="12.75">
      <c r="A9" s="398" t="s">
        <v>287</v>
      </c>
      <c r="B9" s="507">
        <f>'(7)Premiums YTD8'!B12</f>
        <v>118640</v>
      </c>
      <c r="C9" s="507">
        <f>'(7)Premiums YTD8'!C12</f>
        <v>-4078</v>
      </c>
      <c r="D9" s="507">
        <f>'(7)Premiums YTD8'!D12</f>
        <v>0</v>
      </c>
      <c r="E9" s="507" t="e">
        <f>'(7)Premiums YTD8'!E12</f>
        <v>#REF!</v>
      </c>
      <c r="F9" s="572" t="e">
        <f>'(7)Premiums YTD8'!F12</f>
        <v>#REF!</v>
      </c>
      <c r="G9" s="508" t="e">
        <f>SUM(B9:F9)</f>
        <v>#REF!</v>
      </c>
      <c r="H9" s="35" t="e">
        <f>SUM(G9)</f>
        <v>#REF!</v>
      </c>
      <c r="I9" s="31">
        <v>8</v>
      </c>
    </row>
    <row r="10" spans="1:9" ht="12.75">
      <c r="A10" s="398" t="s">
        <v>288</v>
      </c>
      <c r="B10" s="496">
        <f>'(8)Earned Incurred YTD6'!C48</f>
        <v>44581.64</v>
      </c>
      <c r="C10" s="496">
        <f>'(8)Earned Incurred YTD6'!D48</f>
        <v>0</v>
      </c>
      <c r="D10" s="496">
        <v>0</v>
      </c>
      <c r="E10" s="496">
        <v>0</v>
      </c>
      <c r="F10" s="496">
        <v>0</v>
      </c>
      <c r="G10" s="497">
        <f>SUM(B10:F10)</f>
        <v>44581.64</v>
      </c>
      <c r="H10" s="36">
        <f>+'(8)Earned Incurred YTD6'!C48</f>
        <v>44581.64</v>
      </c>
      <c r="I10" s="31">
        <v>6</v>
      </c>
    </row>
    <row r="11" spans="1:8" ht="12.75">
      <c r="A11" s="356" t="s">
        <v>289</v>
      </c>
      <c r="B11" s="498">
        <f aca="true" t="shared" si="0" ref="B11:G11">SUM(B9:B10)</f>
        <v>163221.64</v>
      </c>
      <c r="C11" s="498">
        <f t="shared" si="0"/>
        <v>-4078</v>
      </c>
      <c r="D11" s="498">
        <f t="shared" si="0"/>
        <v>0</v>
      </c>
      <c r="E11" s="498" t="e">
        <f t="shared" si="0"/>
        <v>#REF!</v>
      </c>
      <c r="F11" s="498" t="e">
        <f t="shared" si="0"/>
        <v>#REF!</v>
      </c>
      <c r="G11" s="499" t="e">
        <f t="shared" si="0"/>
        <v>#REF!</v>
      </c>
      <c r="H11" s="39"/>
    </row>
    <row r="12" spans="1:8" ht="12.75">
      <c r="A12" s="356"/>
      <c r="B12" s="496"/>
      <c r="C12" s="496"/>
      <c r="D12" s="496"/>
      <c r="E12" s="496"/>
      <c r="F12" s="496"/>
      <c r="G12" s="496"/>
      <c r="H12" s="37"/>
    </row>
    <row r="13" spans="1:8" ht="12.75">
      <c r="A13" s="395" t="s">
        <v>290</v>
      </c>
      <c r="B13" s="503"/>
      <c r="C13" s="503"/>
      <c r="D13" s="503"/>
      <c r="E13" s="503"/>
      <c r="F13" s="503"/>
      <c r="G13" s="496"/>
      <c r="H13" s="37"/>
    </row>
    <row r="14" spans="1:10" ht="12.75">
      <c r="A14" s="356" t="s">
        <v>291</v>
      </c>
      <c r="B14" s="496">
        <f>+'(6)Losses Incurred YTD10'!B12</f>
        <v>2255791.24</v>
      </c>
      <c r="C14" s="496" t="e">
        <f>+'(6)Losses Incurred YTD10'!C12</f>
        <v>#REF!</v>
      </c>
      <c r="D14" s="496" t="e">
        <f>+'(6)Losses Incurred YTD10'!D12</f>
        <v>#REF!</v>
      </c>
      <c r="E14" s="496">
        <f>+'(6)Losses Incurred YTD10'!E12</f>
        <v>59250</v>
      </c>
      <c r="F14" s="496" t="e">
        <f>'(6)Losses Incurred YTD10'!F12</f>
        <v>#REF!</v>
      </c>
      <c r="G14" s="500" t="e">
        <f>SUM(B14:F14)-1</f>
        <v>#REF!</v>
      </c>
      <c r="H14" s="36" t="e">
        <f>+'(6)Losses Incurred YTD10'!H12</f>
        <v>#REF!</v>
      </c>
      <c r="I14" s="31">
        <v>10</v>
      </c>
      <c r="J14" s="116" t="e">
        <f>+G14-H14</f>
        <v>#REF!</v>
      </c>
    </row>
    <row r="15" spans="1:9" ht="12.75">
      <c r="A15" s="356" t="s">
        <v>292</v>
      </c>
      <c r="B15" s="496">
        <f>+'(1)ULEP-YTD17'!B44</f>
        <v>210128.8</v>
      </c>
      <c r="C15" s="496">
        <f>+'(1)ULEP-YTD17'!B38</f>
        <v>77522.81</v>
      </c>
      <c r="D15" s="496">
        <f>+'(1)ULEP-YTD17'!B32</f>
        <v>982.14</v>
      </c>
      <c r="E15" s="496">
        <f>+'(1)ULEP-YTD17'!B26</f>
        <v>605.69</v>
      </c>
      <c r="F15" s="496" t="e">
        <f>+'(1)ULEP-YTD17'!B20</f>
        <v>#REF!</v>
      </c>
      <c r="G15" s="500" t="e">
        <f aca="true" t="shared" si="1" ref="G15:G22">SUM(B15:F15)</f>
        <v>#REF!</v>
      </c>
      <c r="H15" s="36" t="e">
        <f>+'(1)ULEP-YTD17'!G49</f>
        <v>#REF!</v>
      </c>
      <c r="I15" s="31">
        <v>17</v>
      </c>
    </row>
    <row r="16" spans="1:9" ht="12.75">
      <c r="A16" s="356" t="s">
        <v>293</v>
      </c>
      <c r="B16" s="496">
        <f>+'(1)ULEP-YTD17'!F44</f>
        <v>84007.43000000001</v>
      </c>
      <c r="C16" s="496">
        <f>+'(1)ULEP-YTD17'!F38</f>
        <v>53685.96</v>
      </c>
      <c r="D16" s="496">
        <f>+'(1)ULEP-YTD17'!F32</f>
        <v>1103.4799999999998</v>
      </c>
      <c r="E16" s="496">
        <f>+'(1)ULEP-YTD17'!F26</f>
        <v>2206.52</v>
      </c>
      <c r="F16" s="496" t="e">
        <f>+'(1)ULEP-YTD17'!F20</f>
        <v>#REF!</v>
      </c>
      <c r="G16" s="500" t="e">
        <f t="shared" si="1"/>
        <v>#REF!</v>
      </c>
      <c r="H16" s="36" t="e">
        <f>+G16+G15</f>
        <v>#REF!</v>
      </c>
      <c r="I16" s="31">
        <v>17</v>
      </c>
    </row>
    <row r="17" spans="1:9" ht="12.75">
      <c r="A17" s="356" t="s">
        <v>294</v>
      </c>
      <c r="B17" s="496">
        <f>+'[1]TB03-31-04(Final)'!G635</f>
        <v>12016.59</v>
      </c>
      <c r="C17" s="496">
        <v>0</v>
      </c>
      <c r="D17" s="496">
        <v>0</v>
      </c>
      <c r="E17" s="496">
        <v>0</v>
      </c>
      <c r="F17" s="348">
        <v>0</v>
      </c>
      <c r="G17" s="500">
        <f t="shared" si="1"/>
        <v>12016.59</v>
      </c>
      <c r="H17" s="358">
        <f>+'(8)Earned Incurred YTD6'!C38</f>
        <v>108491.93</v>
      </c>
      <c r="I17" s="38">
        <v>62000</v>
      </c>
    </row>
    <row r="18" spans="1:10" ht="12.75">
      <c r="A18" s="400" t="s">
        <v>295</v>
      </c>
      <c r="B18" s="496">
        <f>+'[1]TB03-31-04(Final)'!G647</f>
        <v>92969.09</v>
      </c>
      <c r="C18" s="496">
        <v>0</v>
      </c>
      <c r="D18" s="496">
        <v>0</v>
      </c>
      <c r="E18" s="496">
        <v>0</v>
      </c>
      <c r="F18" s="496">
        <v>0</v>
      </c>
      <c r="G18" s="500">
        <f t="shared" si="1"/>
        <v>92969.09</v>
      </c>
      <c r="H18" s="36">
        <f>+G17+G18+G20</f>
        <v>108491.93</v>
      </c>
      <c r="I18" s="38">
        <v>65000</v>
      </c>
      <c r="J18" s="116">
        <f>+H17-H18</f>
        <v>0</v>
      </c>
    </row>
    <row r="19" spans="1:10" ht="12.75">
      <c r="A19" s="400" t="s">
        <v>296</v>
      </c>
      <c r="B19" s="348" t="e">
        <f>+'(8)Earned Incurred YTD6'!D37-C19-D19-E19</f>
        <v>#REF!</v>
      </c>
      <c r="C19" s="348">
        <f>+'[1]TB03-31-04(Final)'!F626+'[1]TB03-31-04(Final)'!F620+'[1]TB03-31-04(Final)'!F612+'[1]TB03-31-04(Final)'!F603+'[1]TB03-31-04(Final)'!F595+'[1]TB03-31-04(Final)'!F586</f>
        <v>-369.1</v>
      </c>
      <c r="D19" s="496">
        <f>+'[1]TB03-31-04(Final)'!G585</f>
        <v>0</v>
      </c>
      <c r="E19" s="496" t="e">
        <f>+'[1]TB03-31-04(Final)'!F584+'[1]TB03-31-04(Final)'!F593+'[1]TB03-31-04(Final)'!F601-'[1]TB03-31-04(Final)'!F610</f>
        <v>#REF!</v>
      </c>
      <c r="F19" s="599">
        <v>0</v>
      </c>
      <c r="G19" s="500" t="e">
        <f>SUM(B19:F19)</f>
        <v>#REF!</v>
      </c>
      <c r="H19" s="36">
        <f>+'[1]TB03-31-04(Final)'!G630</f>
        <v>528557.35</v>
      </c>
      <c r="I19" s="31" t="s">
        <v>132</v>
      </c>
      <c r="J19" s="116" t="e">
        <f>+G19-H19</f>
        <v>#REF!</v>
      </c>
    </row>
    <row r="20" spans="1:9" ht="12.75">
      <c r="A20" s="356" t="s">
        <v>297</v>
      </c>
      <c r="B20" s="496">
        <f>+'[1]TB03-31-04(Final)'!G639</f>
        <v>3506.25</v>
      </c>
      <c r="C20" s="496">
        <v>0</v>
      </c>
      <c r="D20" s="496">
        <v>0</v>
      </c>
      <c r="E20" s="496">
        <v>0</v>
      </c>
      <c r="F20" s="348">
        <v>0</v>
      </c>
      <c r="G20" s="500">
        <f t="shared" si="1"/>
        <v>3506.25</v>
      </c>
      <c r="H20" s="358">
        <f>+G20+G18+G17</f>
        <v>108491.93</v>
      </c>
      <c r="I20" s="38">
        <v>63000</v>
      </c>
    </row>
    <row r="21" spans="1:10" ht="12.75">
      <c r="A21" s="356" t="s">
        <v>298</v>
      </c>
      <c r="B21" s="496">
        <f>+'(8)Earned Incurred YTD6'!C39</f>
        <v>995251.8099999997</v>
      </c>
      <c r="C21" s="496">
        <f>+'(8)Earned Incurred YTD6'!D39</f>
        <v>0</v>
      </c>
      <c r="D21" s="496">
        <v>0</v>
      </c>
      <c r="E21" s="496">
        <v>0</v>
      </c>
      <c r="F21" s="348">
        <v>0</v>
      </c>
      <c r="G21" s="500">
        <f t="shared" si="1"/>
        <v>995251.8099999997</v>
      </c>
      <c r="H21" s="36"/>
      <c r="I21" s="31">
        <v>5</v>
      </c>
      <c r="J21" s="357">
        <f>+G21-H21</f>
        <v>995251.8099999997</v>
      </c>
    </row>
    <row r="22" spans="1:9" ht="12.75">
      <c r="A22" s="356" t="s">
        <v>265</v>
      </c>
      <c r="B22" s="496">
        <f>23108.63+20347.1+10350+600</f>
        <v>54405.729999999996</v>
      </c>
      <c r="C22" s="496">
        <f>20700+6478.27+1200</f>
        <v>28378.27</v>
      </c>
      <c r="D22" s="496">
        <v>0</v>
      </c>
      <c r="E22" s="501">
        <v>0</v>
      </c>
      <c r="F22" s="348">
        <v>0</v>
      </c>
      <c r="G22" s="500">
        <f t="shared" si="1"/>
        <v>82784</v>
      </c>
      <c r="H22" s="37">
        <f>+'(8)Earned Incurred YTD6'!C31</f>
        <v>82784</v>
      </c>
      <c r="I22" s="31">
        <v>6</v>
      </c>
    </row>
    <row r="23" spans="1:8" ht="12.75">
      <c r="A23" s="356" t="s">
        <v>289</v>
      </c>
      <c r="B23" s="498" t="e">
        <f aca="true" t="shared" si="2" ref="B23:G23">SUM(B14:B22)</f>
        <v>#REF!</v>
      </c>
      <c r="C23" s="498" t="e">
        <f t="shared" si="2"/>
        <v>#REF!</v>
      </c>
      <c r="D23" s="498" t="e">
        <f t="shared" si="2"/>
        <v>#REF!</v>
      </c>
      <c r="E23" s="498" t="e">
        <f t="shared" si="2"/>
        <v>#REF!</v>
      </c>
      <c r="F23" s="498" t="e">
        <f>SUM(F14:F22)</f>
        <v>#REF!</v>
      </c>
      <c r="G23" s="499" t="e">
        <f t="shared" si="2"/>
        <v>#REF!</v>
      </c>
      <c r="H23" s="143" t="e">
        <f>SUM(G14:G22)</f>
        <v>#REF!</v>
      </c>
    </row>
    <row r="24" spans="1:8" ht="12.75">
      <c r="A24" s="356"/>
      <c r="B24" s="496"/>
      <c r="C24" s="496"/>
      <c r="D24" s="496"/>
      <c r="E24" s="496"/>
      <c r="F24" s="496"/>
      <c r="G24" s="496"/>
      <c r="H24" s="37"/>
    </row>
    <row r="25" spans="1:8" ht="12.75">
      <c r="A25" s="401" t="s">
        <v>299</v>
      </c>
      <c r="B25" s="502" t="e">
        <f aca="true" t="shared" si="3" ref="B25:G25">B11-B23</f>
        <v>#REF!</v>
      </c>
      <c r="C25" s="502" t="e">
        <f>C11-C23</f>
        <v>#REF!</v>
      </c>
      <c r="D25" s="502" t="e">
        <f t="shared" si="3"/>
        <v>#REF!</v>
      </c>
      <c r="E25" s="502" t="e">
        <f t="shared" si="3"/>
        <v>#REF!</v>
      </c>
      <c r="F25" s="502" t="e">
        <f t="shared" si="3"/>
        <v>#REF!</v>
      </c>
      <c r="G25" s="499" t="e">
        <f t="shared" si="3"/>
        <v>#REF!</v>
      </c>
      <c r="H25" s="143"/>
    </row>
    <row r="26" spans="1:8" ht="16.5" customHeight="1">
      <c r="A26" s="356"/>
      <c r="B26" s="496"/>
      <c r="C26" s="496"/>
      <c r="D26" s="496"/>
      <c r="E26" s="496"/>
      <c r="F26" s="496"/>
      <c r="G26" s="496"/>
      <c r="H26" s="37"/>
    </row>
    <row r="27" spans="1:8" ht="12.75">
      <c r="A27" s="395" t="s">
        <v>300</v>
      </c>
      <c r="B27" s="503"/>
      <c r="C27" s="503"/>
      <c r="D27" s="503"/>
      <c r="E27" s="503"/>
      <c r="F27" s="503"/>
      <c r="G27" s="496"/>
      <c r="H27" s="37"/>
    </row>
    <row r="28" spans="1:8" ht="12.75">
      <c r="A28" s="356" t="s">
        <v>301</v>
      </c>
      <c r="B28" s="496">
        <v>0</v>
      </c>
      <c r="C28" s="496">
        <v>17084</v>
      </c>
      <c r="D28" s="496">
        <v>0</v>
      </c>
      <c r="E28" s="496">
        <v>0</v>
      </c>
      <c r="F28" s="496">
        <v>0</v>
      </c>
      <c r="G28" s="500">
        <f>SUM(B28:F28)</f>
        <v>17084</v>
      </c>
      <c r="H28" s="37"/>
    </row>
    <row r="29" spans="1:8" ht="12.75">
      <c r="A29" s="356" t="s">
        <v>302</v>
      </c>
      <c r="B29" s="496">
        <f>'Balance Sheet-1'!D13</f>
        <v>390109.94000000006</v>
      </c>
      <c r="C29" s="496">
        <v>0</v>
      </c>
      <c r="D29" s="496">
        <v>0</v>
      </c>
      <c r="E29" s="496">
        <v>0</v>
      </c>
      <c r="F29" s="496">
        <v>0</v>
      </c>
      <c r="G29" s="500">
        <f>SUM(B29:F29)</f>
        <v>390109.94000000006</v>
      </c>
      <c r="H29" s="37"/>
    </row>
    <row r="30" spans="1:8" ht="12.75" hidden="1">
      <c r="A30" s="356" t="s">
        <v>70</v>
      </c>
      <c r="B30" s="496">
        <v>0</v>
      </c>
      <c r="C30" s="496">
        <v>0</v>
      </c>
      <c r="D30" s="496">
        <v>0</v>
      </c>
      <c r="E30" s="496">
        <v>0</v>
      </c>
      <c r="F30" s="496">
        <v>0</v>
      </c>
      <c r="G30" s="500">
        <f>SUM(B30:F30)</f>
        <v>0</v>
      </c>
      <c r="H30" s="37" t="s">
        <v>30</v>
      </c>
    </row>
    <row r="31" spans="1:8" ht="12.75">
      <c r="A31" s="356" t="s">
        <v>289</v>
      </c>
      <c r="B31" s="498">
        <f aca="true" t="shared" si="4" ref="B31:G31">SUM(B28:B30)</f>
        <v>390109.94000000006</v>
      </c>
      <c r="C31" s="498">
        <f t="shared" si="4"/>
        <v>17084</v>
      </c>
      <c r="D31" s="498">
        <f t="shared" si="4"/>
        <v>0</v>
      </c>
      <c r="E31" s="498">
        <f t="shared" si="4"/>
        <v>0</v>
      </c>
      <c r="F31" s="498">
        <f t="shared" si="4"/>
        <v>0</v>
      </c>
      <c r="G31" s="499">
        <f t="shared" si="4"/>
        <v>407193.94000000006</v>
      </c>
      <c r="H31" s="39"/>
    </row>
    <row r="32" spans="1:8" ht="12.75">
      <c r="A32" s="356"/>
      <c r="B32" s="496"/>
      <c r="C32" s="496"/>
      <c r="D32" s="496"/>
      <c r="E32" s="496"/>
      <c r="F32" s="496"/>
      <c r="G32" s="496"/>
      <c r="H32" s="37"/>
    </row>
    <row r="33" spans="1:8" ht="12.75">
      <c r="A33" s="395" t="s">
        <v>303</v>
      </c>
      <c r="B33" s="503"/>
      <c r="C33" s="503"/>
      <c r="D33" s="503"/>
      <c r="E33" s="503"/>
      <c r="F33" s="503"/>
      <c r="G33" s="496"/>
      <c r="H33" s="37"/>
    </row>
    <row r="34" spans="1:8" ht="12.75">
      <c r="A34" s="356" t="s">
        <v>304</v>
      </c>
      <c r="B34" s="496">
        <f>'(8)Earned Incurred YTD6'!B49</f>
        <v>10038.47</v>
      </c>
      <c r="C34" s="496">
        <f>'(8)Earned Incurred YTD6'!C49</f>
        <v>0</v>
      </c>
      <c r="D34" s="496">
        <v>0</v>
      </c>
      <c r="E34" s="496">
        <v>0</v>
      </c>
      <c r="F34" s="496">
        <v>0</v>
      </c>
      <c r="G34" s="500">
        <f>SUM(B34:F34)</f>
        <v>10038.47</v>
      </c>
      <c r="H34" s="37">
        <f>-G28+G34</f>
        <v>-7045.530000000001</v>
      </c>
    </row>
    <row r="35" spans="1:8" ht="12.75">
      <c r="A35" s="356" t="s">
        <v>305</v>
      </c>
      <c r="B35" s="496">
        <v>0</v>
      </c>
      <c r="C35" s="496">
        <v>282394</v>
      </c>
      <c r="D35" s="496">
        <v>0</v>
      </c>
      <c r="E35" s="496">
        <v>0</v>
      </c>
      <c r="F35" s="496">
        <v>0</v>
      </c>
      <c r="G35" s="500">
        <f>SUM(B35:F35)</f>
        <v>282394</v>
      </c>
      <c r="H35" s="37"/>
    </row>
    <row r="36" spans="1:8" ht="12.75" hidden="1">
      <c r="A36" s="356"/>
      <c r="B36" s="496"/>
      <c r="C36" s="496"/>
      <c r="D36" s="496"/>
      <c r="E36" s="496"/>
      <c r="F36" s="496"/>
      <c r="G36" s="500"/>
      <c r="H36" s="37"/>
    </row>
    <row r="37" spans="1:8" ht="12.75">
      <c r="A37" s="356" t="s">
        <v>289</v>
      </c>
      <c r="B37" s="498">
        <f aca="true" t="shared" si="5" ref="B37:G37">SUM(B34:B36)</f>
        <v>10038.47</v>
      </c>
      <c r="C37" s="498">
        <f t="shared" si="5"/>
        <v>282394</v>
      </c>
      <c r="D37" s="498">
        <f t="shared" si="5"/>
        <v>0</v>
      </c>
      <c r="E37" s="498">
        <f t="shared" si="5"/>
        <v>0</v>
      </c>
      <c r="F37" s="498">
        <f t="shared" si="5"/>
        <v>0</v>
      </c>
      <c r="G37" s="499">
        <f t="shared" si="5"/>
        <v>292432.47</v>
      </c>
      <c r="H37" s="600">
        <f>+G31-G37</f>
        <v>114761.47000000009</v>
      </c>
    </row>
    <row r="38" spans="1:8" ht="12.75">
      <c r="A38" s="356"/>
      <c r="B38" s="496"/>
      <c r="C38" s="496"/>
      <c r="D38" s="496"/>
      <c r="E38" s="496"/>
      <c r="F38" s="496"/>
      <c r="G38" s="505"/>
      <c r="H38" s="39"/>
    </row>
    <row r="39" spans="1:28" s="42" customFormat="1" ht="12.75">
      <c r="A39" s="402" t="s">
        <v>185</v>
      </c>
      <c r="B39" s="496"/>
      <c r="C39" s="496"/>
      <c r="D39" s="496"/>
      <c r="E39" s="496"/>
      <c r="F39" s="496"/>
      <c r="G39" s="496"/>
      <c r="H39" s="37"/>
      <c r="I39" s="40"/>
      <c r="J39" s="40"/>
      <c r="K39" s="40"/>
      <c r="L39" s="40"/>
      <c r="M39" s="41"/>
      <c r="N39" s="41"/>
      <c r="O39" s="41"/>
      <c r="P39" s="41"/>
      <c r="Q39" s="41"/>
      <c r="R39" s="40"/>
      <c r="S39" s="40"/>
      <c r="T39" s="40"/>
      <c r="U39" s="40"/>
      <c r="V39" s="40"/>
      <c r="W39" s="40"/>
      <c r="X39" s="40"/>
      <c r="Y39" s="40"/>
      <c r="Z39" s="40"/>
      <c r="AA39" s="40"/>
      <c r="AB39" s="40"/>
    </row>
    <row r="40" spans="1:28" s="42" customFormat="1" ht="12.75">
      <c r="A40" s="385" t="s">
        <v>186</v>
      </c>
      <c r="B40" s="504" t="e">
        <f>+'Income Statement-2'!#REF!</f>
        <v>#REF!</v>
      </c>
      <c r="C40" s="504"/>
      <c r="D40" s="496">
        <v>0</v>
      </c>
      <c r="E40" s="496">
        <v>0</v>
      </c>
      <c r="F40" s="496">
        <v>0</v>
      </c>
      <c r="G40" s="500" t="e">
        <f>SUM(B40:F40)</f>
        <v>#REF!</v>
      </c>
      <c r="H40" s="37" t="e">
        <f>-G40</f>
        <v>#REF!</v>
      </c>
      <c r="I40" s="40"/>
      <c r="J40" s="40"/>
      <c r="K40" s="40"/>
      <c r="L40" s="40"/>
      <c r="M40" s="41"/>
      <c r="N40" s="41"/>
      <c r="O40" s="41"/>
      <c r="P40" s="41"/>
      <c r="Q40" s="41"/>
      <c r="R40" s="40"/>
      <c r="S40" s="40"/>
      <c r="T40" s="40"/>
      <c r="U40" s="40"/>
      <c r="V40" s="40"/>
      <c r="W40" s="40"/>
      <c r="X40" s="40"/>
      <c r="Y40" s="40"/>
      <c r="Z40" s="40"/>
      <c r="AA40" s="40"/>
      <c r="AB40" s="40"/>
    </row>
    <row r="41" spans="1:28" s="42" customFormat="1" ht="12.75" hidden="1">
      <c r="A41" s="403" t="s">
        <v>200</v>
      </c>
      <c r="B41" s="496">
        <v>0</v>
      </c>
      <c r="C41" s="496">
        <v>0</v>
      </c>
      <c r="D41" s="496">
        <v>0</v>
      </c>
      <c r="E41" s="496">
        <v>0</v>
      </c>
      <c r="F41" s="496">
        <v>0</v>
      </c>
      <c r="G41" s="500">
        <f>SUM(D41:F41)</f>
        <v>0</v>
      </c>
      <c r="H41" s="37"/>
      <c r="I41" s="40"/>
      <c r="J41" s="40"/>
      <c r="K41" s="40"/>
      <c r="L41" s="40"/>
      <c r="M41" s="41"/>
      <c r="N41" s="41"/>
      <c r="O41" s="41"/>
      <c r="P41" s="41"/>
      <c r="Q41" s="41"/>
      <c r="R41" s="40"/>
      <c r="S41" s="40"/>
      <c r="T41" s="40"/>
      <c r="U41" s="40"/>
      <c r="V41" s="40"/>
      <c r="W41" s="40"/>
      <c r="X41" s="40"/>
      <c r="Y41" s="40"/>
      <c r="Z41" s="40"/>
      <c r="AA41" s="40"/>
      <c r="AB41" s="40"/>
    </row>
    <row r="42" spans="1:17" s="42" customFormat="1" ht="12.75">
      <c r="A42" s="403" t="s">
        <v>289</v>
      </c>
      <c r="B42" s="502" t="e">
        <f>SUM(B40:B41)</f>
        <v>#REF!</v>
      </c>
      <c r="C42" s="502">
        <f>SUM(C40:C41)</f>
        <v>0</v>
      </c>
      <c r="D42" s="502">
        <f>SUM(D40:D41)</f>
        <v>0</v>
      </c>
      <c r="E42" s="502">
        <f>SUM(E40:E41)</f>
        <v>0</v>
      </c>
      <c r="F42" s="498">
        <f>SUM(F40:F41)</f>
        <v>0</v>
      </c>
      <c r="G42" s="499" t="e">
        <f>SUM(B42:F42)</f>
        <v>#REF!</v>
      </c>
      <c r="H42" s="39"/>
      <c r="I42" s="43"/>
      <c r="J42" s="40"/>
      <c r="K42" s="40"/>
      <c r="L42" s="40"/>
      <c r="M42" s="41"/>
      <c r="N42" s="41"/>
      <c r="O42" s="41"/>
      <c r="P42" s="41"/>
      <c r="Q42" s="41"/>
    </row>
    <row r="43" spans="1:8" ht="12.75">
      <c r="A43" s="356"/>
      <c r="B43" s="496"/>
      <c r="C43" s="496"/>
      <c r="D43" s="496"/>
      <c r="E43" s="496"/>
      <c r="F43" s="496"/>
      <c r="G43" s="505"/>
      <c r="H43" s="39"/>
    </row>
    <row r="44" spans="1:8" ht="26.25" thickBot="1">
      <c r="A44" s="395" t="s">
        <v>306</v>
      </c>
      <c r="B44" s="502" t="e">
        <f aca="true" t="shared" si="6" ref="B44:G44">B25-B31+B37+B42</f>
        <v>#REF!</v>
      </c>
      <c r="C44" s="502" t="e">
        <f>C25-C31+C37+C42</f>
        <v>#REF!</v>
      </c>
      <c r="D44" s="502" t="e">
        <f t="shared" si="6"/>
        <v>#REF!</v>
      </c>
      <c r="E44" s="502" t="e">
        <f t="shared" si="6"/>
        <v>#REF!</v>
      </c>
      <c r="F44" s="502" t="e">
        <f t="shared" si="6"/>
        <v>#REF!</v>
      </c>
      <c r="G44" s="499" t="e">
        <f t="shared" si="6"/>
        <v>#REF!</v>
      </c>
      <c r="H44" s="601" t="e">
        <f>SUM(H34:H43)</f>
        <v>#REF!</v>
      </c>
    </row>
    <row r="45" spans="1:8" ht="13.5" thickTop="1">
      <c r="A45" s="356"/>
      <c r="B45" s="496"/>
      <c r="C45" s="496"/>
      <c r="D45" s="496"/>
      <c r="E45" s="496"/>
      <c r="F45" s="496"/>
      <c r="G45" s="496"/>
      <c r="H45" s="37"/>
    </row>
    <row r="46" spans="1:8" ht="12.75">
      <c r="A46" s="404" t="s">
        <v>100</v>
      </c>
      <c r="B46" s="496"/>
      <c r="C46" s="496"/>
      <c r="D46" s="496"/>
      <c r="E46" s="496"/>
      <c r="F46" s="496"/>
      <c r="G46" s="496"/>
      <c r="H46" s="37"/>
    </row>
    <row r="47" spans="1:8" ht="12.75">
      <c r="A47" s="356" t="s">
        <v>264</v>
      </c>
      <c r="B47" s="496">
        <f>'(7)Premiums YTD8'!B18</f>
        <v>6184683</v>
      </c>
      <c r="C47" s="496">
        <f>'(7)Premiums YTD8'!C18</f>
        <v>0</v>
      </c>
      <c r="D47" s="496">
        <f>'(7)Premiums YTD8'!D18</f>
        <v>0</v>
      </c>
      <c r="E47" s="496" t="e">
        <f>'(7)Premiums YTD8'!E18</f>
        <v>#REF!</v>
      </c>
      <c r="F47" s="496" t="e">
        <f>'(7)Premiums YTD8'!F18</f>
        <v>#REF!</v>
      </c>
      <c r="G47" s="500" t="e">
        <f>SUM(B47:F47)</f>
        <v>#REF!</v>
      </c>
      <c r="H47" s="37" t="e">
        <f>+'(7)Premiums YTD8'!G18</f>
        <v>#REF!</v>
      </c>
    </row>
    <row r="48" spans="1:8" ht="12.75">
      <c r="A48" s="356" t="s">
        <v>307</v>
      </c>
      <c r="B48" s="496">
        <f>+'(6)Losses Incurred YTD10'!B18</f>
        <v>6530234.16294247</v>
      </c>
      <c r="C48" s="496">
        <f>+'(6)Losses Incurred YTD10'!C18</f>
        <v>525790.71</v>
      </c>
      <c r="D48" s="496">
        <f>+'(6)Losses Incurred YTD10'!D18</f>
        <v>92026</v>
      </c>
      <c r="E48" s="496">
        <f>'(6)Losses Incurred YTD10'!E18</f>
        <v>93733</v>
      </c>
      <c r="F48" s="496" t="e">
        <f>'(6)Losses Incurred YTD10'!F18</f>
        <v>#REF!</v>
      </c>
      <c r="G48" s="500" t="e">
        <f>SUM(B48:F48)</f>
        <v>#REF!</v>
      </c>
      <c r="H48" s="37" t="e">
        <f>+'(6)Losses Incurred YTD10'!H18</f>
        <v>#REF!</v>
      </c>
    </row>
    <row r="49" spans="1:8" ht="12.75">
      <c r="A49" s="356" t="s">
        <v>308</v>
      </c>
      <c r="B49" s="496">
        <f>+'(4)Loss Expenses YTD12'!B18</f>
        <v>670743.568894</v>
      </c>
      <c r="C49" s="496">
        <f>+'(4)Loss Expenses YTD12'!C18</f>
        <v>66617.682957</v>
      </c>
      <c r="D49" s="496">
        <f>+'(4)Loss Expenses YTD12'!D18</f>
        <v>11659.6942</v>
      </c>
      <c r="E49" s="496">
        <f>'(4)Loss Expenses YTD12'!E18-1</f>
        <v>11875.9847</v>
      </c>
      <c r="F49" s="496" t="e">
        <f>'(4)Loss Expenses YTD12'!F18-1</f>
        <v>#REF!</v>
      </c>
      <c r="G49" s="500" t="e">
        <f>SUM(B49:F49)+1</f>
        <v>#REF!</v>
      </c>
      <c r="H49" s="37" t="e">
        <f>+#REF!</f>
        <v>#REF!</v>
      </c>
    </row>
    <row r="50" spans="1:8" ht="12.75">
      <c r="A50" s="356" t="s">
        <v>309</v>
      </c>
      <c r="B50" s="496">
        <f>'(8)Earned Incurred YTD6'!B41</f>
        <v>330321.9</v>
      </c>
      <c r="C50" s="496">
        <f>'(8)Earned Incurred YTD6'!C41</f>
        <v>0</v>
      </c>
      <c r="D50" s="496">
        <v>0</v>
      </c>
      <c r="E50" s="496">
        <v>0</v>
      </c>
      <c r="F50" s="348">
        <v>0</v>
      </c>
      <c r="G50" s="500">
        <f>SUM(B50:F50)</f>
        <v>330321.9</v>
      </c>
      <c r="H50" s="37">
        <f>+'(8)Earned Incurred YTD6'!B41</f>
        <v>330321.9</v>
      </c>
    </row>
    <row r="51" spans="1:8" ht="12.75">
      <c r="A51" s="356" t="s">
        <v>310</v>
      </c>
      <c r="B51" s="496">
        <f>'(8)Earned Incurred YTD6'!B32</f>
        <v>50945.26</v>
      </c>
      <c r="C51" s="496">
        <f>'(8)Earned Incurred YTD6'!C32</f>
        <v>0</v>
      </c>
      <c r="D51" s="496">
        <v>0</v>
      </c>
      <c r="E51" s="496">
        <v>0</v>
      </c>
      <c r="F51" s="348">
        <v>0</v>
      </c>
      <c r="G51" s="500">
        <f>SUM(B51:F51)</f>
        <v>50945.26</v>
      </c>
      <c r="H51" s="37">
        <f>+'(8)Earned Incurred YTD6'!B32</f>
        <v>50945.26</v>
      </c>
    </row>
    <row r="52" spans="1:9" ht="12.75">
      <c r="A52" s="405" t="s">
        <v>289</v>
      </c>
      <c r="B52" s="498">
        <f>SUM(B47:B51)-1</f>
        <v>13766926.89183647</v>
      </c>
      <c r="C52" s="498">
        <f>SUM(C47:C51)-1</f>
        <v>592407.392957</v>
      </c>
      <c r="D52" s="498">
        <f>SUM(D47:D51)</f>
        <v>103685.6942</v>
      </c>
      <c r="E52" s="498" t="e">
        <f>SUM(E47:E51)</f>
        <v>#REF!</v>
      </c>
      <c r="F52" s="498" t="e">
        <f>SUM(F47:F51)</f>
        <v>#REF!</v>
      </c>
      <c r="G52" s="499" t="e">
        <f>SUM(G47:G51)</f>
        <v>#REF!</v>
      </c>
      <c r="H52" s="39" t="e">
        <f>SUM(G47:G51)</f>
        <v>#REF!</v>
      </c>
      <c r="I52" s="255" t="e">
        <f>+G52-H52</f>
        <v>#REF!</v>
      </c>
    </row>
    <row r="53" spans="1:8" ht="12.75">
      <c r="A53" s="356"/>
      <c r="B53" s="496"/>
      <c r="C53" s="496"/>
      <c r="D53" s="496"/>
      <c r="E53" s="496"/>
      <c r="F53" s="496"/>
      <c r="G53" s="496"/>
      <c r="H53" s="37"/>
    </row>
    <row r="54" spans="1:8" ht="12.75">
      <c r="A54" s="404" t="s">
        <v>101</v>
      </c>
      <c r="B54" s="509"/>
      <c r="C54" s="509"/>
      <c r="D54" s="509"/>
      <c r="E54" s="509"/>
      <c r="F54" s="496"/>
      <c r="G54" s="496"/>
      <c r="H54" s="37"/>
    </row>
    <row r="55" spans="1:8" ht="12.75">
      <c r="A55" s="356" t="s">
        <v>264</v>
      </c>
      <c r="B55" s="496">
        <f>+'(7)Premiums YTD8'!B24</f>
        <v>0</v>
      </c>
      <c r="C55" s="496">
        <f>+'(7)Premiums YTD8'!C24</f>
        <v>8897126</v>
      </c>
      <c r="D55" s="496">
        <f>+'(7)Premiums YTD8'!D24</f>
        <v>0</v>
      </c>
      <c r="E55" s="496">
        <f>+'(7)Premiums YTD8'!E24</f>
        <v>0</v>
      </c>
      <c r="F55" s="496">
        <v>0</v>
      </c>
      <c r="G55" s="500">
        <f>SUM(B55:F55)</f>
        <v>8897126</v>
      </c>
      <c r="H55" s="37">
        <f>+'(7)Premiums YTD8'!G24</f>
        <v>8897126</v>
      </c>
    </row>
    <row r="56" spans="1:8" ht="12.75">
      <c r="A56" s="356" t="s">
        <v>307</v>
      </c>
      <c r="B56" s="496">
        <v>0</v>
      </c>
      <c r="C56" s="496">
        <f>+'(6)Losses Incurred YTD10'!C24</f>
        <v>4404123</v>
      </c>
      <c r="D56" s="496">
        <f>+'(6)Losses Incurred YTD10'!D24</f>
        <v>932658</v>
      </c>
      <c r="E56" s="496">
        <f>+'(6)Losses Incurred YTD10'!E24</f>
        <v>172030</v>
      </c>
      <c r="F56" s="496">
        <f>+'(6)Losses Incurred YTD10'!F24</f>
        <v>78667</v>
      </c>
      <c r="G56" s="500">
        <f>SUM(B56:F56)-1</f>
        <v>5587477</v>
      </c>
      <c r="H56" s="37">
        <f>+'(6)Losses Incurred YTD10'!H24</f>
        <v>5587477</v>
      </c>
    </row>
    <row r="57" spans="1:8" ht="12.75">
      <c r="A57" s="356" t="s">
        <v>311</v>
      </c>
      <c r="B57" s="496">
        <v>0</v>
      </c>
      <c r="C57" s="496">
        <f>+'(4)Loss Expenses YTD12'!C24</f>
        <v>343249</v>
      </c>
      <c r="D57" s="496">
        <f>+'(4)Loss Expenses YTD12'!D24</f>
        <v>103712</v>
      </c>
      <c r="E57" s="496">
        <f>+'(4)Loss Expenses YTD12'!E24</f>
        <v>19130</v>
      </c>
      <c r="F57" s="496">
        <f>+'(4)Loss Expenses YTD12'!F24</f>
        <v>8748</v>
      </c>
      <c r="G57" s="500">
        <f>SUM(B57:F57)-2</f>
        <v>474837</v>
      </c>
      <c r="H57" s="37">
        <f>+'(4)Loss Expenses YTD12'!H24</f>
        <v>474837</v>
      </c>
    </row>
    <row r="58" spans="1:8" ht="12.75">
      <c r="A58" s="356" t="s">
        <v>309</v>
      </c>
      <c r="B58" s="496">
        <v>0</v>
      </c>
      <c r="C58" s="496">
        <f>+'(8)Earned Incurred YTD6'!B42</f>
        <v>356304</v>
      </c>
      <c r="D58" s="496">
        <v>0</v>
      </c>
      <c r="E58" s="496">
        <v>0</v>
      </c>
      <c r="F58" s="496">
        <v>0</v>
      </c>
      <c r="G58" s="500">
        <f>SUM(B58:F58)</f>
        <v>356304</v>
      </c>
      <c r="H58" s="37">
        <f>+'(8)Earned Incurred YTD6'!B42</f>
        <v>356304</v>
      </c>
    </row>
    <row r="59" spans="1:8" ht="12.75">
      <c r="A59" s="356" t="s">
        <v>310</v>
      </c>
      <c r="B59" s="496">
        <v>0</v>
      </c>
      <c r="C59" s="496">
        <f>+'(8)Earned Incurred YTD6'!B33</f>
        <v>46320</v>
      </c>
      <c r="D59" s="496">
        <v>0</v>
      </c>
      <c r="E59" s="496">
        <v>0</v>
      </c>
      <c r="F59" s="496">
        <v>0</v>
      </c>
      <c r="G59" s="500">
        <f>SUM(B59:F59)</f>
        <v>46320</v>
      </c>
      <c r="H59" s="37">
        <f>+'(8)Earned Incurred YTD6'!B33</f>
        <v>46320</v>
      </c>
    </row>
    <row r="60" spans="1:8" ht="12.75">
      <c r="A60" s="356" t="s">
        <v>289</v>
      </c>
      <c r="B60" s="498">
        <f aca="true" t="shared" si="7" ref="B60:G60">SUM(B55:B59)</f>
        <v>0</v>
      </c>
      <c r="C60" s="498">
        <f t="shared" si="7"/>
        <v>14047122</v>
      </c>
      <c r="D60" s="498">
        <f t="shared" si="7"/>
        <v>1036370</v>
      </c>
      <c r="E60" s="498">
        <f t="shared" si="7"/>
        <v>191160</v>
      </c>
      <c r="F60" s="498">
        <f t="shared" si="7"/>
        <v>87415</v>
      </c>
      <c r="G60" s="499">
        <f t="shared" si="7"/>
        <v>15362064</v>
      </c>
      <c r="H60" s="39">
        <f>SUM(G55:G59)</f>
        <v>15362064</v>
      </c>
    </row>
    <row r="61" spans="1:7" ht="12.75">
      <c r="A61" s="356"/>
      <c r="B61" s="406"/>
      <c r="C61" s="406"/>
      <c r="D61" s="406"/>
      <c r="E61" s="406"/>
      <c r="F61" s="399"/>
      <c r="G61" s="399"/>
    </row>
    <row r="62" spans="1:8" s="119" customFormat="1" ht="13.5" thickBot="1">
      <c r="A62" s="401" t="s">
        <v>312</v>
      </c>
      <c r="B62" s="506" t="e">
        <f>B44-B52+B60</f>
        <v>#REF!</v>
      </c>
      <c r="C62" s="506" t="e">
        <f>C44-C52+C60</f>
        <v>#REF!</v>
      </c>
      <c r="D62" s="506" t="e">
        <f>D44-D52+D60</f>
        <v>#REF!</v>
      </c>
      <c r="E62" s="506" t="e">
        <f>E44-E52+E60</f>
        <v>#REF!</v>
      </c>
      <c r="F62" s="506" t="e">
        <f>F44-F52+F60</f>
        <v>#REF!</v>
      </c>
      <c r="G62" s="506" t="e">
        <f>SUM(B62:F62)-5</f>
        <v>#REF!</v>
      </c>
      <c r="H62" s="44" t="e">
        <f>+H44</f>
        <v>#REF!</v>
      </c>
    </row>
    <row r="63" spans="1:9" ht="13.5" thickTop="1">
      <c r="A63" s="356"/>
      <c r="B63" s="406"/>
      <c r="C63" s="406"/>
      <c r="D63" s="406"/>
      <c r="E63" s="406"/>
      <c r="F63" s="399"/>
      <c r="G63" s="603"/>
      <c r="H63" s="44" t="e">
        <f>+G62-H62</f>
        <v>#REF!</v>
      </c>
      <c r="I63" s="347"/>
    </row>
    <row r="64" spans="1:9" ht="12.75">
      <c r="A64" s="356"/>
      <c r="B64" s="406"/>
      <c r="C64" s="406"/>
      <c r="D64" s="406"/>
      <c r="E64" s="406"/>
      <c r="F64" s="399"/>
      <c r="G64" s="603"/>
      <c r="I64" s="44"/>
    </row>
    <row r="65" spans="1:7" ht="12.75">
      <c r="A65" s="356"/>
      <c r="B65" s="406"/>
      <c r="C65" s="406"/>
      <c r="D65" s="406"/>
      <c r="E65" s="406"/>
      <c r="F65" s="399"/>
      <c r="G65" s="762"/>
    </row>
    <row r="66" ht="12.75">
      <c r="G66" s="602"/>
    </row>
    <row r="67" ht="12.75">
      <c r="J67" s="116"/>
    </row>
    <row r="68" ht="12.75">
      <c r="J68" s="356"/>
    </row>
  </sheetData>
  <mergeCells count="4">
    <mergeCell ref="A1:G1"/>
    <mergeCell ref="A2:G2"/>
    <mergeCell ref="A3:G3"/>
    <mergeCell ref="A4:G4"/>
  </mergeCells>
  <printOptions horizontalCentered="1" verticalCentered="1"/>
  <pageMargins left="0.25" right="0.25" top="0" bottom="1" header="0.5" footer="0.5"/>
  <pageSetup horizontalDpi="600" verticalDpi="600" orientation="portrait" scale="75" r:id="rId1"/>
  <headerFooter alignWithMargins="0">
    <oddFooter>&amp;CPage 4
</oddFooter>
  </headerFooter>
</worksheet>
</file>

<file path=xl/worksheets/sheet8.xml><?xml version="1.0" encoding="utf-8"?>
<worksheet xmlns="http://schemas.openxmlformats.org/spreadsheetml/2006/main" xmlns:r="http://schemas.openxmlformats.org/officeDocument/2006/relationships">
  <dimension ref="A1:G161"/>
  <sheetViews>
    <sheetView zoomScale="75" zoomScaleNormal="75" workbookViewId="0" topLeftCell="A1">
      <selection activeCell="A1" sqref="A1:D1"/>
    </sheetView>
  </sheetViews>
  <sheetFormatPr defaultColWidth="9.140625" defaultRowHeight="15" customHeight="1"/>
  <cols>
    <col min="1" max="1" width="60.7109375" style="21" customWidth="1"/>
    <col min="2" max="4" width="18.7109375" style="342" customWidth="1"/>
    <col min="5" max="5" width="15.7109375" style="342" customWidth="1"/>
    <col min="6" max="16384" width="15.7109375" style="21" customWidth="1"/>
  </cols>
  <sheetData>
    <row r="1" spans="1:5" s="263" customFormat="1" ht="24.75" customHeight="1">
      <c r="A1" s="899" t="s">
        <v>251</v>
      </c>
      <c r="B1" s="900"/>
      <c r="C1" s="900"/>
      <c r="D1" s="901"/>
      <c r="E1" s="778"/>
    </row>
    <row r="2" spans="1:5" s="45" customFormat="1" ht="15" customHeight="1">
      <c r="A2" s="934"/>
      <c r="B2" s="935"/>
      <c r="C2" s="935"/>
      <c r="D2" s="936"/>
      <c r="E2" s="779"/>
    </row>
    <row r="3" spans="1:5" s="784" customFormat="1" ht="15" customHeight="1">
      <c r="A3" s="903" t="s">
        <v>214</v>
      </c>
      <c r="B3" s="897"/>
      <c r="C3" s="897"/>
      <c r="D3" s="898"/>
      <c r="E3" s="783"/>
    </row>
    <row r="4" spans="1:5" s="784" customFormat="1" ht="15" customHeight="1">
      <c r="A4" s="903" t="s">
        <v>313</v>
      </c>
      <c r="B4" s="897"/>
      <c r="C4" s="897"/>
      <c r="D4" s="898"/>
      <c r="E4" s="783"/>
    </row>
    <row r="5" spans="1:5" s="784" customFormat="1" ht="15" customHeight="1">
      <c r="A5" s="903" t="s">
        <v>471</v>
      </c>
      <c r="B5" s="897"/>
      <c r="C5" s="897"/>
      <c r="D5" s="898"/>
      <c r="E5" s="783"/>
    </row>
    <row r="6" spans="1:5" s="45" customFormat="1" ht="15" customHeight="1">
      <c r="A6" s="407"/>
      <c r="B6" s="337"/>
      <c r="C6" s="337"/>
      <c r="D6" s="510"/>
      <c r="E6" s="779"/>
    </row>
    <row r="7" spans="1:5" s="18" customFormat="1" ht="15" customHeight="1">
      <c r="A7" s="408"/>
      <c r="B7" s="337"/>
      <c r="C7" s="337"/>
      <c r="D7" s="510"/>
      <c r="E7" s="127"/>
    </row>
    <row r="8" spans="1:5" s="18" customFormat="1" ht="15" customHeight="1">
      <c r="A8" s="409" t="s">
        <v>314</v>
      </c>
      <c r="B8" s="511" t="s">
        <v>470</v>
      </c>
      <c r="C8" s="512"/>
      <c r="D8" s="513"/>
      <c r="E8" s="127"/>
    </row>
    <row r="9" spans="1:5" s="18" customFormat="1" ht="15" customHeight="1">
      <c r="A9" s="409"/>
      <c r="B9" s="514" t="s">
        <v>204</v>
      </c>
      <c r="C9" s="515"/>
      <c r="D9" s="516"/>
      <c r="E9" s="127"/>
    </row>
    <row r="10" spans="1:5" s="18" customFormat="1" ht="15" customHeight="1">
      <c r="A10" s="410"/>
      <c r="B10" s="517" t="s">
        <v>261</v>
      </c>
      <c r="C10" s="518"/>
      <c r="D10" s="885"/>
      <c r="E10" s="127"/>
    </row>
    <row r="11" spans="1:5" s="18" customFormat="1" ht="15" customHeight="1">
      <c r="A11" s="411" t="s">
        <v>315</v>
      </c>
      <c r="B11" s="519"/>
      <c r="C11" s="479">
        <f>'Premiums QTD-5'!G12</f>
        <v>5467036</v>
      </c>
      <c r="D11" s="491"/>
      <c r="E11" s="127"/>
    </row>
    <row r="12" spans="1:5" s="18" customFormat="1" ht="15" customHeight="1">
      <c r="A12" s="411"/>
      <c r="B12" s="519"/>
      <c r="C12" s="487"/>
      <c r="D12" s="491"/>
      <c r="E12" s="127"/>
    </row>
    <row r="13" spans="1:5" s="18" customFormat="1" ht="15" customHeight="1">
      <c r="A13" s="412" t="s">
        <v>316</v>
      </c>
      <c r="B13" s="519">
        <f>'Premiums QTD-5'!G18</f>
        <v>11538864</v>
      </c>
      <c r="C13" s="122"/>
      <c r="D13" s="491"/>
      <c r="E13" s="127"/>
    </row>
    <row r="14" spans="1:5" s="18" customFormat="1" ht="15" customHeight="1">
      <c r="A14" s="412" t="s">
        <v>335</v>
      </c>
      <c r="B14" s="521">
        <f>'Premiums QTD-5'!G24</f>
        <v>11919572</v>
      </c>
      <c r="C14" s="122"/>
      <c r="D14" s="491"/>
      <c r="E14" s="127"/>
    </row>
    <row r="15" spans="1:5" s="18" customFormat="1" ht="15" customHeight="1">
      <c r="A15" s="412" t="s">
        <v>336</v>
      </c>
      <c r="B15" s="519"/>
      <c r="C15" s="522">
        <f>B14-B13</f>
        <v>380708</v>
      </c>
      <c r="D15" s="491"/>
      <c r="E15" s="127"/>
    </row>
    <row r="16" spans="1:5" s="18" customFormat="1" ht="15" customHeight="1">
      <c r="A16" s="411" t="s">
        <v>337</v>
      </c>
      <c r="B16" s="519"/>
      <c r="C16" s="122"/>
      <c r="D16" s="887">
        <f>C11+C15</f>
        <v>5847744</v>
      </c>
      <c r="E16" s="127"/>
    </row>
    <row r="17" spans="1:4" s="18" customFormat="1" ht="15" customHeight="1">
      <c r="A17" s="412" t="s">
        <v>338</v>
      </c>
      <c r="B17" s="519"/>
      <c r="C17" s="122">
        <f>'[11]1Q05 Trial Balance'!D258</f>
        <v>3812483.13</v>
      </c>
      <c r="D17" s="491"/>
    </row>
    <row r="18" spans="1:4" s="18" customFormat="1" ht="15" customHeight="1">
      <c r="A18" s="412" t="s">
        <v>76</v>
      </c>
      <c r="B18" s="519"/>
      <c r="C18" s="522">
        <f>-'[11]1Q05 Trial Balance'!D270</f>
        <v>224088.97</v>
      </c>
      <c r="D18" s="491"/>
    </row>
    <row r="19" spans="1:5" s="18" customFormat="1" ht="15" customHeight="1">
      <c r="A19" s="411" t="s">
        <v>340</v>
      </c>
      <c r="B19" s="519"/>
      <c r="C19" s="122">
        <f>C17-C18</f>
        <v>3588394.1599999997</v>
      </c>
      <c r="D19" s="491"/>
      <c r="E19" s="127"/>
    </row>
    <row r="20" spans="1:5" s="18" customFormat="1" ht="15" customHeight="1">
      <c r="A20" s="412" t="s">
        <v>341</v>
      </c>
      <c r="B20" s="519">
        <f>'Losses Incurred QTD-6'!G19+'Losses Incurred QTD-6'!G25</f>
        <v>5408170.609999999</v>
      </c>
      <c r="C20" s="122" t="s">
        <v>261</v>
      </c>
      <c r="D20" s="491"/>
      <c r="E20" s="127"/>
    </row>
    <row r="21" spans="1:5" s="18" customFormat="1" ht="15" customHeight="1">
      <c r="A21" s="412" t="s">
        <v>342</v>
      </c>
      <c r="B21" s="521">
        <f>'Losses Incurred QTD-6'!G32</f>
        <v>6512476.86</v>
      </c>
      <c r="C21" s="122"/>
      <c r="D21" s="491"/>
      <c r="E21" s="127"/>
    </row>
    <row r="22" spans="1:5" s="18" customFormat="1" ht="15" customHeight="1">
      <c r="A22" s="412" t="s">
        <v>343</v>
      </c>
      <c r="B22" s="524"/>
      <c r="C22" s="522">
        <f>B20-B21</f>
        <v>-1104306.250000001</v>
      </c>
      <c r="D22" s="491"/>
      <c r="E22" s="127"/>
    </row>
    <row r="23" spans="1:6" s="18" customFormat="1" ht="15" customHeight="1">
      <c r="A23" s="411" t="s">
        <v>344</v>
      </c>
      <c r="B23" s="519"/>
      <c r="C23" s="122"/>
      <c r="D23" s="491">
        <f>C19+C22</f>
        <v>2484087.9099999988</v>
      </c>
      <c r="E23" s="122"/>
      <c r="F23" s="114"/>
    </row>
    <row r="24" spans="1:5" s="18" customFormat="1" ht="15" customHeight="1">
      <c r="A24" s="412" t="s">
        <v>345</v>
      </c>
      <c r="B24" s="519"/>
      <c r="C24" s="122">
        <f>'[11]1Q05 Trial Balance'!D327</f>
        <v>294494.80000000005</v>
      </c>
      <c r="D24" s="491"/>
      <c r="E24" s="334"/>
    </row>
    <row r="25" spans="1:5" s="18" customFormat="1" ht="15" customHeight="1">
      <c r="A25" s="412" t="s">
        <v>346</v>
      </c>
      <c r="B25" s="519"/>
      <c r="C25" s="522">
        <f>'[11]1Q05 Trial Balance'!D341</f>
        <v>136185.83999999997</v>
      </c>
      <c r="D25" s="491"/>
      <c r="E25" s="334"/>
    </row>
    <row r="26" spans="1:5" s="18" customFormat="1" ht="15" customHeight="1">
      <c r="A26" s="411" t="s">
        <v>347</v>
      </c>
      <c r="B26" s="519"/>
      <c r="C26" s="122">
        <f>C24+C25</f>
        <v>430680.64</v>
      </c>
      <c r="D26" s="491"/>
      <c r="E26" s="122"/>
    </row>
    <row r="27" spans="1:5" s="18" customFormat="1" ht="15" customHeight="1">
      <c r="A27" s="412" t="s">
        <v>348</v>
      </c>
      <c r="B27" s="519">
        <f>'Loss Expenses QTD-7'!G19</f>
        <v>597693.9</v>
      </c>
      <c r="C27" s="122"/>
      <c r="D27" s="491"/>
      <c r="E27" s="334"/>
    </row>
    <row r="28" spans="1:5" s="18" customFormat="1" ht="15" customHeight="1">
      <c r="A28" s="412" t="s">
        <v>349</v>
      </c>
      <c r="B28" s="521">
        <f>'Loss Expenses QTD-7'!G25</f>
        <v>642578.79</v>
      </c>
      <c r="C28" s="122"/>
      <c r="D28" s="491"/>
      <c r="E28" s="122"/>
    </row>
    <row r="29" spans="1:7" s="18" customFormat="1" ht="15" customHeight="1">
      <c r="A29" s="412" t="s">
        <v>350</v>
      </c>
      <c r="B29" s="519"/>
      <c r="C29" s="522">
        <f>B27-B28</f>
        <v>-44884.890000000014</v>
      </c>
      <c r="D29" s="491"/>
      <c r="E29" s="334"/>
      <c r="G29" s="114"/>
    </row>
    <row r="30" spans="1:6" s="18" customFormat="1" ht="15" customHeight="1">
      <c r="A30" s="411" t="s">
        <v>351</v>
      </c>
      <c r="B30" s="519"/>
      <c r="C30" s="122"/>
      <c r="D30" s="490">
        <f>C26+C29</f>
        <v>385795.75</v>
      </c>
      <c r="E30" s="122"/>
      <c r="F30" s="114"/>
    </row>
    <row r="31" spans="1:6" s="18" customFormat="1" ht="15" customHeight="1">
      <c r="A31" s="411" t="s">
        <v>352</v>
      </c>
      <c r="B31" s="519"/>
      <c r="C31" s="122"/>
      <c r="D31" s="886">
        <f>D23+D30</f>
        <v>2869883.6599999988</v>
      </c>
      <c r="E31" s="122"/>
      <c r="F31" s="114"/>
    </row>
    <row r="32" spans="1:6" s="18" customFormat="1" ht="15" customHeight="1">
      <c r="A32" s="412" t="s">
        <v>353</v>
      </c>
      <c r="B32" s="519"/>
      <c r="C32" s="122">
        <f>31445.25-1982</f>
        <v>29463.25</v>
      </c>
      <c r="D32" s="491"/>
      <c r="E32" s="334"/>
      <c r="F32" s="114"/>
    </row>
    <row r="33" spans="1:7" s="18" customFormat="1" ht="15" customHeight="1">
      <c r="A33" s="412" t="s">
        <v>354</v>
      </c>
      <c r="B33" s="519">
        <f>-'[11]1Q05 Trial Balance'!D127</f>
        <v>50945.26</v>
      </c>
      <c r="C33" s="122"/>
      <c r="D33" s="491"/>
      <c r="E33" s="127"/>
      <c r="G33" s="114"/>
    </row>
    <row r="34" spans="1:7" s="18" customFormat="1" ht="15" customHeight="1">
      <c r="A34" s="412" t="s">
        <v>355</v>
      </c>
      <c r="B34" s="521">
        <v>61013.43</v>
      </c>
      <c r="C34" s="122" t="s">
        <v>261</v>
      </c>
      <c r="D34" s="491"/>
      <c r="E34" s="127"/>
      <c r="G34" s="114"/>
    </row>
    <row r="35" spans="1:5" s="18" customFormat="1" ht="15" customHeight="1">
      <c r="A35" s="412" t="s">
        <v>59</v>
      </c>
      <c r="B35" s="519"/>
      <c r="C35" s="522">
        <f>B33-B34</f>
        <v>-10068.169999999998</v>
      </c>
      <c r="D35" s="491"/>
      <c r="E35" s="127"/>
    </row>
    <row r="36" spans="1:6" s="18" customFormat="1" ht="15" customHeight="1">
      <c r="A36" s="411" t="s">
        <v>60</v>
      </c>
      <c r="B36" s="519"/>
      <c r="C36" s="122" t="s">
        <v>261</v>
      </c>
      <c r="D36" s="491">
        <f>C32+C35</f>
        <v>19395.08</v>
      </c>
      <c r="E36" s="127"/>
      <c r="F36" s="114"/>
    </row>
    <row r="37" spans="1:5" s="18" customFormat="1" ht="15" customHeight="1">
      <c r="A37" s="412" t="s">
        <v>457</v>
      </c>
      <c r="B37" s="519"/>
      <c r="C37" s="122">
        <f>'[11]1Q05 Trial Balance'!D405</f>
        <v>490163.10000000003</v>
      </c>
      <c r="D37" s="491"/>
      <c r="E37" s="127"/>
    </row>
    <row r="38" spans="1:5" s="18" customFormat="1" ht="15" customHeight="1">
      <c r="A38" s="412" t="s">
        <v>436</v>
      </c>
      <c r="B38" s="519"/>
      <c r="C38" s="122">
        <f>'[11]1Q05 Trial Balance'!D416</f>
        <v>81050.23</v>
      </c>
      <c r="D38" s="491"/>
      <c r="E38" s="780"/>
    </row>
    <row r="39" spans="1:6" s="18" customFormat="1" ht="15" customHeight="1">
      <c r="A39" s="412" t="s">
        <v>145</v>
      </c>
      <c r="B39" s="519"/>
      <c r="C39" s="522">
        <f>'[11]1Q05 Trial Balance'!D666-C43</f>
        <v>947739.6799999998</v>
      </c>
      <c r="D39" s="491"/>
      <c r="E39" s="780"/>
      <c r="F39" s="127"/>
    </row>
    <row r="40" spans="1:6" s="18" customFormat="1" ht="15" customHeight="1">
      <c r="A40" s="411" t="s">
        <v>146</v>
      </c>
      <c r="B40" s="519"/>
      <c r="C40" s="122">
        <f>SUM(C37:C39)</f>
        <v>1518953.0099999998</v>
      </c>
      <c r="D40" s="491"/>
      <c r="E40" s="780"/>
      <c r="F40" s="127"/>
    </row>
    <row r="41" spans="1:5" s="18" customFormat="1" ht="15" customHeight="1">
      <c r="A41" s="412" t="s">
        <v>354</v>
      </c>
      <c r="B41" s="519">
        <f>-'[11]1Q05 Trial Balance'!D145</f>
        <v>301586.77</v>
      </c>
      <c r="C41" s="122"/>
      <c r="D41" s="491"/>
      <c r="E41" s="127"/>
    </row>
    <row r="42" spans="1:5" s="18" customFormat="1" ht="15" customHeight="1">
      <c r="A42" s="412" t="s">
        <v>355</v>
      </c>
      <c r="B42" s="521">
        <v>251967.98</v>
      </c>
      <c r="C42" s="122" t="s">
        <v>261</v>
      </c>
      <c r="D42" s="491"/>
      <c r="E42" s="127"/>
    </row>
    <row r="43" spans="1:5" s="18" customFormat="1" ht="15" customHeight="1">
      <c r="A43" s="412" t="s">
        <v>147</v>
      </c>
      <c r="B43" s="519"/>
      <c r="C43" s="522">
        <f>+B41-B42</f>
        <v>49618.79000000001</v>
      </c>
      <c r="D43" s="491"/>
      <c r="E43" s="127"/>
    </row>
    <row r="44" spans="1:6" s="18" customFormat="1" ht="15" customHeight="1">
      <c r="A44" s="411" t="s">
        <v>215</v>
      </c>
      <c r="B44" s="519"/>
      <c r="C44" s="122"/>
      <c r="D44" s="491">
        <f>C40+C43</f>
        <v>1568571.7999999998</v>
      </c>
      <c r="E44" s="127"/>
      <c r="F44" s="127"/>
    </row>
    <row r="45" spans="1:6" s="18" customFormat="1" ht="15" customHeight="1">
      <c r="A45" s="411" t="s">
        <v>148</v>
      </c>
      <c r="B45" s="519"/>
      <c r="C45" s="122"/>
      <c r="D45" s="889">
        <f>D36+D44</f>
        <v>1587966.88</v>
      </c>
      <c r="E45" s="127"/>
      <c r="F45" s="120"/>
    </row>
    <row r="46" spans="1:6" s="18" customFormat="1" ht="15" customHeight="1">
      <c r="A46" s="411" t="s">
        <v>149</v>
      </c>
      <c r="B46" s="519"/>
      <c r="C46" s="122"/>
      <c r="D46" s="888">
        <f>D31+D45</f>
        <v>4457850.539999999</v>
      </c>
      <c r="E46" s="127"/>
      <c r="F46" s="120"/>
    </row>
    <row r="47" spans="1:6" s="18" customFormat="1" ht="15" customHeight="1">
      <c r="A47" s="411" t="s">
        <v>459</v>
      </c>
      <c r="B47" s="519"/>
      <c r="C47" s="122"/>
      <c r="D47" s="571">
        <f>D16-D31-D45</f>
        <v>1389893.4600000014</v>
      </c>
      <c r="E47" s="48"/>
      <c r="F47" s="127"/>
    </row>
    <row r="48" spans="1:6" s="18" customFormat="1" ht="15" customHeight="1">
      <c r="A48" s="412" t="s">
        <v>197</v>
      </c>
      <c r="B48" s="519"/>
      <c r="C48" s="122">
        <f>-'[11]1Q05 Trial Balance'!D244-C51</f>
        <v>66370.29000000001</v>
      </c>
      <c r="D48" s="491"/>
      <c r="E48" s="114"/>
      <c r="F48" s="114"/>
    </row>
    <row r="49" spans="1:5" s="18" customFormat="1" ht="15" customHeight="1">
      <c r="A49" s="412" t="s">
        <v>371</v>
      </c>
      <c r="B49" s="519">
        <f>'[11]1Q05 Trial Balance'!C22</f>
        <v>72229.78</v>
      </c>
      <c r="C49" s="122"/>
      <c r="D49" s="491"/>
      <c r="E49" s="127"/>
    </row>
    <row r="50" spans="1:5" s="18" customFormat="1" ht="15" customHeight="1">
      <c r="A50" s="412" t="s">
        <v>372</v>
      </c>
      <c r="B50" s="521">
        <v>45849.92</v>
      </c>
      <c r="C50" s="122" t="s">
        <v>261</v>
      </c>
      <c r="D50" s="491"/>
      <c r="E50" s="127"/>
    </row>
    <row r="51" spans="1:5" s="18" customFormat="1" ht="15" customHeight="1">
      <c r="A51" s="412" t="s">
        <v>373</v>
      </c>
      <c r="B51" s="519"/>
      <c r="C51" s="522">
        <f>B49-B50</f>
        <v>26379.86</v>
      </c>
      <c r="D51" s="491"/>
      <c r="E51" s="127"/>
    </row>
    <row r="52" spans="1:5" s="18" customFormat="1" ht="15" customHeight="1">
      <c r="A52" s="411" t="s">
        <v>198</v>
      </c>
      <c r="B52" s="519"/>
      <c r="C52" s="122"/>
      <c r="D52" s="528">
        <f>C48+C51</f>
        <v>92750.15000000001</v>
      </c>
      <c r="E52" s="127"/>
    </row>
    <row r="53" spans="1:6" s="18" customFormat="1" ht="15" customHeight="1">
      <c r="A53" s="413"/>
      <c r="B53" s="519"/>
      <c r="C53" s="122"/>
      <c r="D53" s="526"/>
      <c r="E53" s="127"/>
      <c r="F53" s="114"/>
    </row>
    <row r="54" spans="1:6" s="18" customFormat="1" ht="15" customHeight="1">
      <c r="A54" s="414" t="s">
        <v>460</v>
      </c>
      <c r="B54" s="521"/>
      <c r="C54" s="522"/>
      <c r="D54" s="890">
        <f>D47+D52-1</f>
        <v>1482642.6100000013</v>
      </c>
      <c r="E54" s="781"/>
      <c r="F54" s="340"/>
    </row>
    <row r="55" spans="1:4" s="18" customFormat="1" ht="15" customHeight="1">
      <c r="A55" s="415"/>
      <c r="B55" s="304"/>
      <c r="C55" s="304"/>
      <c r="D55" s="790"/>
    </row>
    <row r="56" spans="1:5" s="18" customFormat="1" ht="15" customHeight="1">
      <c r="A56" s="415"/>
      <c r="B56" s="304"/>
      <c r="C56" s="304"/>
      <c r="D56" s="340"/>
      <c r="E56" s="122"/>
    </row>
    <row r="57" spans="1:5" s="18" customFormat="1" ht="15" customHeight="1">
      <c r="A57" s="47"/>
      <c r="B57" s="122"/>
      <c r="C57" s="122"/>
      <c r="D57" s="122"/>
      <c r="E57" s="127"/>
    </row>
    <row r="58" spans="1:5" s="18" customFormat="1" ht="15" customHeight="1">
      <c r="A58" s="47"/>
      <c r="B58" s="122"/>
      <c r="C58" s="122"/>
      <c r="D58" s="122"/>
      <c r="E58" s="127"/>
    </row>
    <row r="59" spans="1:5" s="18" customFormat="1" ht="15" customHeight="1">
      <c r="A59" s="47"/>
      <c r="B59" s="122"/>
      <c r="C59" s="122"/>
      <c r="D59" s="122"/>
      <c r="E59" s="127"/>
    </row>
    <row r="60" spans="1:5" s="18" customFormat="1" ht="15" customHeight="1">
      <c r="A60" s="47"/>
      <c r="B60" s="122"/>
      <c r="C60" s="122"/>
      <c r="D60" s="122"/>
      <c r="E60" s="127"/>
    </row>
    <row r="61" spans="1:5" s="18" customFormat="1" ht="15" customHeight="1">
      <c r="A61" s="47"/>
      <c r="B61" s="122"/>
      <c r="C61" s="122"/>
      <c r="D61" s="122"/>
      <c r="E61" s="127"/>
    </row>
    <row r="62" spans="1:5" s="18" customFormat="1" ht="15" customHeight="1">
      <c r="A62" s="47"/>
      <c r="B62" s="122"/>
      <c r="C62" s="122"/>
      <c r="D62" s="122"/>
      <c r="E62" s="127"/>
    </row>
    <row r="63" spans="1:5" s="18" customFormat="1" ht="15" customHeight="1">
      <c r="A63" s="47"/>
      <c r="B63" s="122"/>
      <c r="C63" s="122"/>
      <c r="D63" s="122"/>
      <c r="E63" s="127"/>
    </row>
    <row r="64" spans="1:5" s="18" customFormat="1" ht="15" customHeight="1">
      <c r="A64" s="115"/>
      <c r="B64" s="344"/>
      <c r="C64" s="341"/>
      <c r="D64" s="122"/>
      <c r="E64" s="127"/>
    </row>
    <row r="65" spans="1:5" s="18" customFormat="1" ht="15" customHeight="1">
      <c r="A65" s="115"/>
      <c r="B65" s="344"/>
      <c r="C65" s="341"/>
      <c r="D65" s="122"/>
      <c r="E65" s="127"/>
    </row>
    <row r="66" spans="1:5" s="18" customFormat="1" ht="15" customHeight="1">
      <c r="A66" s="115"/>
      <c r="B66" s="344"/>
      <c r="C66" s="341"/>
      <c r="D66" s="122"/>
      <c r="E66" s="127"/>
    </row>
    <row r="67" spans="1:5" s="18" customFormat="1" ht="15" customHeight="1">
      <c r="A67" s="115"/>
      <c r="B67" s="344"/>
      <c r="C67" s="343"/>
      <c r="D67" s="122"/>
      <c r="E67" s="127"/>
    </row>
    <row r="68" spans="1:5" s="18" customFormat="1" ht="15" customHeight="1">
      <c r="A68" s="115"/>
      <c r="B68" s="344"/>
      <c r="C68" s="341"/>
      <c r="D68" s="122"/>
      <c r="E68" s="127"/>
    </row>
    <row r="69" spans="2:5" s="18" customFormat="1" ht="15" customHeight="1">
      <c r="B69" s="344"/>
      <c r="C69" s="341"/>
      <c r="D69" s="122"/>
      <c r="E69" s="127"/>
    </row>
    <row r="70" spans="1:5" s="18" customFormat="1" ht="15" customHeight="1">
      <c r="A70" s="115"/>
      <c r="B70" s="344"/>
      <c r="C70" s="341"/>
      <c r="D70" s="122"/>
      <c r="E70" s="127"/>
    </row>
    <row r="71" spans="1:5" s="18" customFormat="1" ht="15" customHeight="1">
      <c r="A71" s="115"/>
      <c r="B71" s="344"/>
      <c r="C71" s="341"/>
      <c r="D71" s="122"/>
      <c r="E71" s="127"/>
    </row>
    <row r="72" spans="1:5" s="18" customFormat="1" ht="15" customHeight="1">
      <c r="A72" s="115"/>
      <c r="B72" s="127"/>
      <c r="C72" s="341"/>
      <c r="D72" s="122"/>
      <c r="E72" s="127"/>
    </row>
    <row r="73" spans="1:5" s="18" customFormat="1" ht="15" customHeight="1">
      <c r="A73" s="47"/>
      <c r="B73" s="122"/>
      <c r="C73" s="343"/>
      <c r="D73" s="122"/>
      <c r="E73" s="127"/>
    </row>
    <row r="74" spans="1:5" s="18" customFormat="1" ht="15" customHeight="1">
      <c r="A74" s="47"/>
      <c r="B74" s="122"/>
      <c r="C74" s="122"/>
      <c r="D74" s="122"/>
      <c r="E74" s="127"/>
    </row>
    <row r="75" spans="1:5" s="18" customFormat="1" ht="15" customHeight="1">
      <c r="A75" s="47"/>
      <c r="B75" s="122"/>
      <c r="C75" s="122"/>
      <c r="D75" s="122"/>
      <c r="E75" s="127"/>
    </row>
    <row r="76" spans="1:5" s="18" customFormat="1" ht="15" customHeight="1">
      <c r="A76" s="47"/>
      <c r="B76" s="122"/>
      <c r="C76" s="122"/>
      <c r="D76" s="122"/>
      <c r="E76" s="127"/>
    </row>
    <row r="77" spans="1:5" s="18" customFormat="1" ht="15" customHeight="1">
      <c r="A77" s="47"/>
      <c r="B77" s="122"/>
      <c r="C77" s="122"/>
      <c r="D77" s="122"/>
      <c r="E77" s="127"/>
    </row>
    <row r="78" spans="1:5" s="18" customFormat="1" ht="15" customHeight="1">
      <c r="A78" s="47"/>
      <c r="B78" s="122"/>
      <c r="C78" s="122"/>
      <c r="D78" s="122"/>
      <c r="E78" s="127"/>
    </row>
    <row r="79" spans="1:5" s="18" customFormat="1" ht="15" customHeight="1">
      <c r="A79" s="47"/>
      <c r="B79" s="122"/>
      <c r="C79" s="122"/>
      <c r="D79" s="122"/>
      <c r="E79" s="127"/>
    </row>
    <row r="80" spans="1:5" s="18" customFormat="1" ht="15" customHeight="1">
      <c r="A80" s="47"/>
      <c r="B80" s="122"/>
      <c r="C80" s="122"/>
      <c r="D80" s="122"/>
      <c r="E80" s="127"/>
    </row>
    <row r="81" spans="1:5" s="18" customFormat="1" ht="15" customHeight="1">
      <c r="A81" s="47"/>
      <c r="B81" s="122"/>
      <c r="C81" s="122"/>
      <c r="D81" s="122"/>
      <c r="E81" s="127"/>
    </row>
    <row r="82" spans="1:5" s="18" customFormat="1" ht="15" customHeight="1">
      <c r="A82" s="47"/>
      <c r="B82" s="122"/>
      <c r="C82" s="122"/>
      <c r="D82" s="122"/>
      <c r="E82" s="127"/>
    </row>
    <row r="83" spans="1:5" s="18" customFormat="1" ht="15" customHeight="1">
      <c r="A83" s="47"/>
      <c r="B83" s="122"/>
      <c r="C83" s="122"/>
      <c r="D83" s="122"/>
      <c r="E83" s="127"/>
    </row>
    <row r="84" spans="1:5" s="18" customFormat="1" ht="15" customHeight="1">
      <c r="A84" s="47"/>
      <c r="B84" s="122"/>
      <c r="C84" s="122"/>
      <c r="D84" s="122"/>
      <c r="E84" s="127"/>
    </row>
    <row r="85" spans="1:5" s="18" customFormat="1" ht="15" customHeight="1">
      <c r="A85" s="47"/>
      <c r="B85" s="122"/>
      <c r="C85" s="122"/>
      <c r="D85" s="122"/>
      <c r="E85" s="127"/>
    </row>
    <row r="86" spans="1:5" s="18" customFormat="1" ht="15" customHeight="1">
      <c r="A86" s="47"/>
      <c r="B86" s="122"/>
      <c r="C86" s="122"/>
      <c r="D86" s="122"/>
      <c r="E86" s="127"/>
    </row>
    <row r="87" spans="1:5" s="18" customFormat="1" ht="15" customHeight="1">
      <c r="A87" s="47"/>
      <c r="B87" s="122"/>
      <c r="C87" s="122"/>
      <c r="D87" s="122"/>
      <c r="E87" s="127"/>
    </row>
    <row r="88" spans="1:5" s="18" customFormat="1" ht="15" customHeight="1">
      <c r="A88" s="47"/>
      <c r="B88" s="122"/>
      <c r="C88" s="122"/>
      <c r="D88" s="122"/>
      <c r="E88" s="127"/>
    </row>
    <row r="89" spans="1:5" s="18" customFormat="1" ht="15" customHeight="1">
      <c r="A89" s="47"/>
      <c r="B89" s="122"/>
      <c r="C89" s="127"/>
      <c r="D89" s="127"/>
      <c r="E89" s="127"/>
    </row>
    <row r="90" spans="1:5" s="18" customFormat="1" ht="15" customHeight="1">
      <c r="A90" s="47"/>
      <c r="B90" s="122"/>
      <c r="C90" s="127"/>
      <c r="D90" s="127"/>
      <c r="E90" s="127"/>
    </row>
    <row r="91" spans="1:5" s="18" customFormat="1" ht="15" customHeight="1">
      <c r="A91" s="47"/>
      <c r="B91" s="122"/>
      <c r="C91" s="127"/>
      <c r="D91" s="127"/>
      <c r="E91" s="127"/>
    </row>
    <row r="92" spans="1:5" s="18" customFormat="1" ht="15" customHeight="1">
      <c r="A92" s="47"/>
      <c r="B92" s="127"/>
      <c r="C92" s="127"/>
      <c r="D92" s="127"/>
      <c r="E92" s="127"/>
    </row>
    <row r="93" spans="1:5" s="18" customFormat="1" ht="15" customHeight="1">
      <c r="A93" s="47"/>
      <c r="B93" s="127"/>
      <c r="C93" s="127"/>
      <c r="D93" s="127"/>
      <c r="E93" s="127"/>
    </row>
    <row r="94" spans="1:5" s="18" customFormat="1" ht="15" customHeight="1">
      <c r="A94" s="47"/>
      <c r="B94" s="127"/>
      <c r="C94" s="127"/>
      <c r="D94" s="127"/>
      <c r="E94" s="127"/>
    </row>
    <row r="95" spans="1:5" s="18" customFormat="1" ht="15" customHeight="1">
      <c r="A95" s="47"/>
      <c r="B95" s="127"/>
      <c r="C95" s="127"/>
      <c r="D95" s="127"/>
      <c r="E95" s="127"/>
    </row>
    <row r="96" spans="1:5" s="18" customFormat="1" ht="15" customHeight="1">
      <c r="A96" s="47"/>
      <c r="B96" s="127"/>
      <c r="C96" s="127"/>
      <c r="D96" s="127"/>
      <c r="E96" s="127"/>
    </row>
    <row r="97" spans="1:5" s="18" customFormat="1" ht="15" customHeight="1">
      <c r="A97" s="47"/>
      <c r="B97" s="127"/>
      <c r="C97" s="127"/>
      <c r="D97" s="127"/>
      <c r="E97" s="127"/>
    </row>
    <row r="98" spans="1:5" s="18" customFormat="1" ht="15" customHeight="1">
      <c r="A98" s="47"/>
      <c r="B98" s="127"/>
      <c r="C98" s="127"/>
      <c r="D98" s="127"/>
      <c r="E98" s="127"/>
    </row>
    <row r="99" spans="1:5" s="18" customFormat="1" ht="15" customHeight="1">
      <c r="A99" s="47"/>
      <c r="B99" s="127"/>
      <c r="C99" s="127"/>
      <c r="D99" s="127"/>
      <c r="E99" s="127"/>
    </row>
    <row r="100" spans="1:5" s="18" customFormat="1" ht="15" customHeight="1">
      <c r="A100" s="47"/>
      <c r="B100" s="127"/>
      <c r="C100" s="127"/>
      <c r="D100" s="127"/>
      <c r="E100" s="127"/>
    </row>
    <row r="101" spans="1:5" s="18" customFormat="1" ht="15" customHeight="1">
      <c r="A101" s="47"/>
      <c r="B101" s="127"/>
      <c r="C101" s="127"/>
      <c r="D101" s="127"/>
      <c r="E101" s="127"/>
    </row>
    <row r="102" spans="1:5" s="18" customFormat="1" ht="15" customHeight="1">
      <c r="A102" s="47"/>
      <c r="B102" s="127"/>
      <c r="C102" s="127"/>
      <c r="D102" s="127"/>
      <c r="E102" s="127"/>
    </row>
    <row r="103" spans="1:5" s="18" customFormat="1" ht="15" customHeight="1">
      <c r="A103" s="47"/>
      <c r="B103" s="127"/>
      <c r="C103" s="127"/>
      <c r="D103" s="127"/>
      <c r="E103" s="127"/>
    </row>
    <row r="104" spans="1:5" s="18" customFormat="1" ht="15" customHeight="1">
      <c r="A104" s="47"/>
      <c r="B104" s="127"/>
      <c r="C104" s="127"/>
      <c r="D104" s="127"/>
      <c r="E104" s="127"/>
    </row>
    <row r="105" spans="1:5" s="18" customFormat="1" ht="15" customHeight="1">
      <c r="A105" s="47"/>
      <c r="B105" s="127"/>
      <c r="C105" s="127"/>
      <c r="D105" s="127"/>
      <c r="E105" s="127"/>
    </row>
    <row r="106" spans="1:5" s="18" customFormat="1" ht="15" customHeight="1">
      <c r="A106" s="47"/>
      <c r="B106" s="127"/>
      <c r="C106" s="127"/>
      <c r="D106" s="127"/>
      <c r="E106" s="127"/>
    </row>
    <row r="107" spans="1:5" s="18" customFormat="1" ht="15" customHeight="1">
      <c r="A107" s="47"/>
      <c r="B107" s="127"/>
      <c r="C107" s="127"/>
      <c r="D107" s="127"/>
      <c r="E107" s="127"/>
    </row>
    <row r="108" spans="1:5" s="18" customFormat="1" ht="15" customHeight="1">
      <c r="A108" s="47"/>
      <c r="B108" s="127"/>
      <c r="C108" s="127"/>
      <c r="D108" s="127"/>
      <c r="E108" s="127"/>
    </row>
    <row r="109" spans="1:2" ht="15" customHeight="1">
      <c r="A109" s="47"/>
      <c r="B109" s="127"/>
    </row>
    <row r="110" spans="1:2" ht="15" customHeight="1">
      <c r="A110" s="47"/>
      <c r="B110" s="127"/>
    </row>
    <row r="111" spans="1:2" ht="15" customHeight="1">
      <c r="A111" s="47"/>
      <c r="B111" s="127"/>
    </row>
    <row r="112" ht="15" customHeight="1">
      <c r="A112" s="47"/>
    </row>
    <row r="113" ht="15" customHeight="1">
      <c r="A113" s="47"/>
    </row>
    <row r="114" ht="15" customHeight="1">
      <c r="A114" s="47"/>
    </row>
    <row r="115" ht="15" customHeight="1">
      <c r="A115" s="47"/>
    </row>
    <row r="116" ht="15" customHeight="1">
      <c r="A116" s="47"/>
    </row>
    <row r="117" ht="15" customHeight="1">
      <c r="A117" s="47"/>
    </row>
    <row r="118" ht="15" customHeight="1">
      <c r="A118" s="47"/>
    </row>
    <row r="119" ht="15" customHeight="1">
      <c r="A119" s="47"/>
    </row>
    <row r="120" ht="15" customHeight="1">
      <c r="A120" s="47"/>
    </row>
    <row r="121" ht="15" customHeight="1">
      <c r="A121" s="49"/>
    </row>
    <row r="122" ht="15" customHeight="1">
      <c r="A122" s="49"/>
    </row>
    <row r="123" ht="15" customHeight="1">
      <c r="A123" s="49"/>
    </row>
    <row r="124" ht="15" customHeight="1">
      <c r="A124" s="49"/>
    </row>
    <row r="125" ht="15" customHeight="1">
      <c r="A125" s="49"/>
    </row>
    <row r="126" ht="15" customHeight="1">
      <c r="A126" s="49"/>
    </row>
    <row r="127" ht="15" customHeight="1">
      <c r="A127" s="49"/>
    </row>
    <row r="128" ht="15" customHeight="1">
      <c r="A128" s="49"/>
    </row>
    <row r="129" ht="15" customHeight="1">
      <c r="A129" s="49"/>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sheetData>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80" r:id="rId1"/>
  <headerFooter alignWithMargins="0">
    <oddFooter>&amp;C&amp;"Century Schoolbook,Regular"Page 4&amp;"Arial,Regular"
</oddFooter>
  </headerFooter>
</worksheet>
</file>

<file path=xl/worksheets/sheet9.xml><?xml version="1.0" encoding="utf-8"?>
<worksheet xmlns="http://schemas.openxmlformats.org/spreadsheetml/2006/main" xmlns:r="http://schemas.openxmlformats.org/officeDocument/2006/relationships">
  <dimension ref="A1:IV154"/>
  <sheetViews>
    <sheetView zoomScale="75" zoomScaleNormal="75" workbookViewId="0" topLeftCell="A2">
      <selection activeCell="B19" sqref="B19"/>
    </sheetView>
  </sheetViews>
  <sheetFormatPr defaultColWidth="9.140625" defaultRowHeight="12.75"/>
  <cols>
    <col min="1" max="1" width="48.00390625" style="21" customWidth="1"/>
    <col min="2" max="2" width="17.421875" style="552" customWidth="1"/>
    <col min="3" max="3" width="17.57421875" style="552" customWidth="1"/>
    <col min="4" max="4" width="17.28125" style="552" customWidth="1"/>
    <col min="5" max="5" width="16.00390625" style="21" hidden="1" customWidth="1"/>
    <col min="6" max="6" width="14.00390625" style="291" hidden="1" customWidth="1"/>
    <col min="7" max="8" width="0" style="21" hidden="1" customWidth="1"/>
    <col min="9" max="9" width="15.00390625" style="21" bestFit="1" customWidth="1"/>
    <col min="10" max="10" width="13.00390625" style="21" customWidth="1"/>
    <col min="11" max="16384" width="9.140625" style="21" customWidth="1"/>
  </cols>
  <sheetData>
    <row r="1" spans="1:256" s="258" customFormat="1" ht="27" customHeight="1">
      <c r="A1" s="946" t="s">
        <v>251</v>
      </c>
      <c r="B1" s="947"/>
      <c r="C1" s="947"/>
      <c r="D1" s="948"/>
      <c r="E1" s="938"/>
      <c r="F1" s="938"/>
      <c r="G1" s="938"/>
      <c r="H1" s="939"/>
      <c r="I1" s="45"/>
      <c r="J1" s="45"/>
      <c r="K1" s="45"/>
      <c r="L1" s="45"/>
      <c r="M1" s="937"/>
      <c r="N1" s="938"/>
      <c r="O1" s="938"/>
      <c r="P1" s="939"/>
      <c r="Q1" s="937"/>
      <c r="R1" s="938"/>
      <c r="S1" s="938"/>
      <c r="T1" s="939"/>
      <c r="U1" s="937"/>
      <c r="V1" s="938"/>
      <c r="W1" s="938"/>
      <c r="X1" s="939"/>
      <c r="Y1" s="937"/>
      <c r="Z1" s="938"/>
      <c r="AA1" s="938"/>
      <c r="AB1" s="939"/>
      <c r="AC1" s="937"/>
      <c r="AD1" s="938"/>
      <c r="AE1" s="938"/>
      <c r="AF1" s="939"/>
      <c r="AG1" s="937"/>
      <c r="AH1" s="938"/>
      <c r="AI1" s="938"/>
      <c r="AJ1" s="939"/>
      <c r="AK1" s="937"/>
      <c r="AL1" s="938"/>
      <c r="AM1" s="938"/>
      <c r="AN1" s="939"/>
      <c r="AO1" s="937"/>
      <c r="AP1" s="938"/>
      <c r="AQ1" s="938"/>
      <c r="AR1" s="939"/>
      <c r="AS1" s="937"/>
      <c r="AT1" s="938"/>
      <c r="AU1" s="938"/>
      <c r="AV1" s="939"/>
      <c r="AW1" s="937"/>
      <c r="AX1" s="938"/>
      <c r="AY1" s="938"/>
      <c r="AZ1" s="939"/>
      <c r="BA1" s="937"/>
      <c r="BB1" s="938"/>
      <c r="BC1" s="938"/>
      <c r="BD1" s="939"/>
      <c r="BE1" s="937"/>
      <c r="BF1" s="938"/>
      <c r="BG1" s="938"/>
      <c r="BH1" s="939"/>
      <c r="BI1" s="937"/>
      <c r="BJ1" s="938"/>
      <c r="BK1" s="938"/>
      <c r="BL1" s="939"/>
      <c r="BM1" s="937"/>
      <c r="BN1" s="938"/>
      <c r="BO1" s="938"/>
      <c r="BP1" s="939"/>
      <c r="BQ1" s="937"/>
      <c r="BR1" s="938"/>
      <c r="BS1" s="938"/>
      <c r="BT1" s="939"/>
      <c r="BU1" s="937"/>
      <c r="BV1" s="938"/>
      <c r="BW1" s="938"/>
      <c r="BX1" s="939"/>
      <c r="BY1" s="937"/>
      <c r="BZ1" s="938"/>
      <c r="CA1" s="938"/>
      <c r="CB1" s="939"/>
      <c r="CC1" s="937"/>
      <c r="CD1" s="938"/>
      <c r="CE1" s="938"/>
      <c r="CF1" s="939"/>
      <c r="CG1" s="937"/>
      <c r="CH1" s="938"/>
      <c r="CI1" s="938"/>
      <c r="CJ1" s="939"/>
      <c r="CK1" s="937"/>
      <c r="CL1" s="938"/>
      <c r="CM1" s="938"/>
      <c r="CN1" s="939"/>
      <c r="CO1" s="937"/>
      <c r="CP1" s="938"/>
      <c r="CQ1" s="938"/>
      <c r="CR1" s="939"/>
      <c r="CS1" s="937"/>
      <c r="CT1" s="938"/>
      <c r="CU1" s="938"/>
      <c r="CV1" s="939"/>
      <c r="CW1" s="937"/>
      <c r="CX1" s="938"/>
      <c r="CY1" s="938"/>
      <c r="CZ1" s="939"/>
      <c r="DA1" s="937"/>
      <c r="DB1" s="938"/>
      <c r="DC1" s="938"/>
      <c r="DD1" s="939"/>
      <c r="DE1" s="937"/>
      <c r="DF1" s="938"/>
      <c r="DG1" s="938"/>
      <c r="DH1" s="939"/>
      <c r="DI1" s="937"/>
      <c r="DJ1" s="938"/>
      <c r="DK1" s="938"/>
      <c r="DL1" s="939"/>
      <c r="DM1" s="937"/>
      <c r="DN1" s="938"/>
      <c r="DO1" s="938"/>
      <c r="DP1" s="939"/>
      <c r="DQ1" s="937"/>
      <c r="DR1" s="938"/>
      <c r="DS1" s="938"/>
      <c r="DT1" s="939"/>
      <c r="DU1" s="937"/>
      <c r="DV1" s="938"/>
      <c r="DW1" s="938"/>
      <c r="DX1" s="939"/>
      <c r="DY1" s="937"/>
      <c r="DZ1" s="938"/>
      <c r="EA1" s="938"/>
      <c r="EB1" s="939"/>
      <c r="EC1" s="937"/>
      <c r="ED1" s="938"/>
      <c r="EE1" s="938"/>
      <c r="EF1" s="939"/>
      <c r="EG1" s="937"/>
      <c r="EH1" s="938"/>
      <c r="EI1" s="938"/>
      <c r="EJ1" s="939"/>
      <c r="EK1" s="937"/>
      <c r="EL1" s="938"/>
      <c r="EM1" s="938"/>
      <c r="EN1" s="939"/>
      <c r="EO1" s="937"/>
      <c r="EP1" s="938"/>
      <c r="EQ1" s="938"/>
      <c r="ER1" s="939"/>
      <c r="ES1" s="937"/>
      <c r="ET1" s="938"/>
      <c r="EU1" s="938"/>
      <c r="EV1" s="939"/>
      <c r="EW1" s="937"/>
      <c r="EX1" s="938"/>
      <c r="EY1" s="938"/>
      <c r="EZ1" s="939"/>
      <c r="FA1" s="937"/>
      <c r="FB1" s="938"/>
      <c r="FC1" s="938"/>
      <c r="FD1" s="939"/>
      <c r="FE1" s="937"/>
      <c r="FF1" s="938"/>
      <c r="FG1" s="938"/>
      <c r="FH1" s="939"/>
      <c r="FI1" s="937"/>
      <c r="FJ1" s="938"/>
      <c r="FK1" s="938"/>
      <c r="FL1" s="939"/>
      <c r="FM1" s="937"/>
      <c r="FN1" s="938"/>
      <c r="FO1" s="938"/>
      <c r="FP1" s="939"/>
      <c r="FQ1" s="937"/>
      <c r="FR1" s="938"/>
      <c r="FS1" s="938"/>
      <c r="FT1" s="939"/>
      <c r="FU1" s="937"/>
      <c r="FV1" s="938"/>
      <c r="FW1" s="938"/>
      <c r="FX1" s="939"/>
      <c r="FY1" s="937"/>
      <c r="FZ1" s="938"/>
      <c r="GA1" s="938"/>
      <c r="GB1" s="939"/>
      <c r="GC1" s="937"/>
      <c r="GD1" s="938"/>
      <c r="GE1" s="938"/>
      <c r="GF1" s="939"/>
      <c r="GG1" s="937"/>
      <c r="GH1" s="938"/>
      <c r="GI1" s="938"/>
      <c r="GJ1" s="939"/>
      <c r="GK1" s="937"/>
      <c r="GL1" s="938"/>
      <c r="GM1" s="938"/>
      <c r="GN1" s="939"/>
      <c r="GO1" s="937"/>
      <c r="GP1" s="938"/>
      <c r="GQ1" s="938"/>
      <c r="GR1" s="939"/>
      <c r="GS1" s="937"/>
      <c r="GT1" s="938"/>
      <c r="GU1" s="938"/>
      <c r="GV1" s="939"/>
      <c r="GW1" s="937"/>
      <c r="GX1" s="938"/>
      <c r="GY1" s="938"/>
      <c r="GZ1" s="939"/>
      <c r="HA1" s="937"/>
      <c r="HB1" s="938"/>
      <c r="HC1" s="938"/>
      <c r="HD1" s="939"/>
      <c r="HE1" s="937"/>
      <c r="HF1" s="938"/>
      <c r="HG1" s="938"/>
      <c r="HH1" s="939"/>
      <c r="HI1" s="937"/>
      <c r="HJ1" s="938"/>
      <c r="HK1" s="938"/>
      <c r="HL1" s="939"/>
      <c r="HM1" s="937"/>
      <c r="HN1" s="938"/>
      <c r="HO1" s="938"/>
      <c r="HP1" s="939"/>
      <c r="HQ1" s="937"/>
      <c r="HR1" s="938"/>
      <c r="HS1" s="938"/>
      <c r="HT1" s="939"/>
      <c r="HU1" s="937"/>
      <c r="HV1" s="938"/>
      <c r="HW1" s="938"/>
      <c r="HX1" s="939"/>
      <c r="HY1" s="937"/>
      <c r="HZ1" s="938"/>
      <c r="IA1" s="938"/>
      <c r="IB1" s="939"/>
      <c r="IC1" s="937"/>
      <c r="ID1" s="938"/>
      <c r="IE1" s="938"/>
      <c r="IF1" s="939"/>
      <c r="IG1" s="937"/>
      <c r="IH1" s="938"/>
      <c r="II1" s="938"/>
      <c r="IJ1" s="939"/>
      <c r="IK1" s="937"/>
      <c r="IL1" s="938"/>
      <c r="IM1" s="938"/>
      <c r="IN1" s="939"/>
      <c r="IO1" s="937"/>
      <c r="IP1" s="938"/>
      <c r="IQ1" s="938"/>
      <c r="IR1" s="939"/>
      <c r="IS1" s="937"/>
      <c r="IT1" s="938"/>
      <c r="IU1" s="938"/>
      <c r="IV1" s="939"/>
    </row>
    <row r="2" spans="1:6" s="45" customFormat="1" ht="18" customHeight="1">
      <c r="A2" s="919"/>
      <c r="B2" s="920"/>
      <c r="C2" s="920"/>
      <c r="D2" s="949"/>
      <c r="F2" s="288"/>
    </row>
    <row r="3" spans="1:6" s="45" customFormat="1" ht="18.75">
      <c r="A3" s="943" t="s">
        <v>214</v>
      </c>
      <c r="B3" s="944"/>
      <c r="C3" s="944"/>
      <c r="D3" s="945"/>
      <c r="F3" s="288"/>
    </row>
    <row r="4" spans="1:6" s="45" customFormat="1" ht="18.75">
      <c r="A4" s="943" t="s">
        <v>313</v>
      </c>
      <c r="B4" s="944"/>
      <c r="C4" s="944"/>
      <c r="D4" s="945"/>
      <c r="F4" s="288"/>
    </row>
    <row r="5" spans="1:6" s="45" customFormat="1" ht="18.75">
      <c r="A5" s="943" t="str">
        <f>+'(9)Equity YTD4'!A4</f>
        <v>YTD PERIOD MARCH 31st, 2004</v>
      </c>
      <c r="B5" s="944"/>
      <c r="C5" s="944"/>
      <c r="D5" s="945"/>
      <c r="F5" s="288"/>
    </row>
    <row r="6" spans="1:6" s="18" customFormat="1" ht="15" customHeight="1">
      <c r="A6" s="417"/>
      <c r="B6" s="529"/>
      <c r="C6" s="529"/>
      <c r="D6" s="530"/>
      <c r="F6" s="22"/>
    </row>
    <row r="7" spans="1:6" s="18" customFormat="1" ht="15">
      <c r="A7" s="418" t="s">
        <v>314</v>
      </c>
      <c r="B7" s="531" t="str">
        <f>+'Earned Incurred QTD-4'!B8</f>
        <v>3-31-05</v>
      </c>
      <c r="C7" s="532"/>
      <c r="D7" s="533"/>
      <c r="F7" s="289" t="s">
        <v>358</v>
      </c>
    </row>
    <row r="8" spans="1:6" s="18" customFormat="1" ht="15">
      <c r="A8" s="418"/>
      <c r="B8" s="534" t="s">
        <v>15</v>
      </c>
      <c r="C8" s="535"/>
      <c r="D8" s="536"/>
      <c r="F8" s="290" t="s">
        <v>189</v>
      </c>
    </row>
    <row r="9" spans="1:6" s="18" customFormat="1" ht="15">
      <c r="A9" s="419"/>
      <c r="B9" s="537" t="s">
        <v>261</v>
      </c>
      <c r="C9" s="538"/>
      <c r="D9" s="539"/>
      <c r="F9" s="22"/>
    </row>
    <row r="10" spans="1:6" s="18" customFormat="1" ht="15">
      <c r="A10" s="420" t="s">
        <v>315</v>
      </c>
      <c r="B10" s="540"/>
      <c r="C10" s="479" t="e">
        <f>'(7)Premiums YTD8'!G12</f>
        <v>#REF!</v>
      </c>
      <c r="D10" s="541"/>
      <c r="E10" s="127">
        <v>16190670</v>
      </c>
      <c r="F10" s="22">
        <v>41000</v>
      </c>
    </row>
    <row r="11" spans="1:6" s="18" customFormat="1" ht="15">
      <c r="A11" s="420"/>
      <c r="B11" s="540"/>
      <c r="C11" s="478"/>
      <c r="D11" s="541"/>
      <c r="F11" s="22"/>
    </row>
    <row r="12" spans="1:6" s="18" customFormat="1" ht="14.25">
      <c r="A12" s="421" t="s">
        <v>316</v>
      </c>
      <c r="B12" s="519" t="e">
        <f>'(7)Premiums YTD8'!G18</f>
        <v>#REF!</v>
      </c>
      <c r="C12" s="122"/>
      <c r="D12" s="520"/>
      <c r="F12" s="22"/>
    </row>
    <row r="13" spans="1:6" s="18" customFormat="1" ht="14.25">
      <c r="A13" s="421" t="s">
        <v>335</v>
      </c>
      <c r="B13" s="521">
        <v>8897126</v>
      </c>
      <c r="C13" s="122"/>
      <c r="D13" s="520"/>
      <c r="F13" s="22"/>
    </row>
    <row r="14" spans="1:6" s="18" customFormat="1" ht="15" customHeight="1">
      <c r="A14" s="421" t="s">
        <v>336</v>
      </c>
      <c r="B14" s="519"/>
      <c r="C14" s="522" t="e">
        <f>B13-B12</f>
        <v>#REF!</v>
      </c>
      <c r="D14" s="520"/>
      <c r="F14" s="22">
        <v>41100</v>
      </c>
    </row>
    <row r="15" spans="1:6" s="18" customFormat="1" ht="15" customHeight="1">
      <c r="A15" s="420" t="s">
        <v>337</v>
      </c>
      <c r="B15" s="519"/>
      <c r="C15" s="122"/>
      <c r="D15" s="573" t="e">
        <f>C10+C14</f>
        <v>#REF!</v>
      </c>
      <c r="E15" s="127" t="e">
        <f>+'(7)Premiums YTD8'!G30</f>
        <v>#REF!</v>
      </c>
      <c r="F15" s="22"/>
    </row>
    <row r="16" spans="1:6" s="18" customFormat="1" ht="14.25">
      <c r="A16" s="421" t="s">
        <v>338</v>
      </c>
      <c r="B16" s="519"/>
      <c r="C16" s="122">
        <f>+'[1]TB03-31-04(Final)'!G384</f>
        <v>3791762.3499999996</v>
      </c>
      <c r="D16" s="520"/>
      <c r="F16" s="22" t="s">
        <v>359</v>
      </c>
    </row>
    <row r="17" spans="1:6" s="18" customFormat="1" ht="14.25">
      <c r="A17" s="421" t="s">
        <v>339</v>
      </c>
      <c r="B17" s="519"/>
      <c r="C17" s="522">
        <f>-'[1]TB03-31-04(Final)'!G405+1</f>
        <v>8001.969999999999</v>
      </c>
      <c r="D17" s="520"/>
      <c r="F17" s="22">
        <v>51108</v>
      </c>
    </row>
    <row r="18" spans="1:6" s="18" customFormat="1" ht="15">
      <c r="A18" s="420" t="s">
        <v>340</v>
      </c>
      <c r="B18" s="519"/>
      <c r="C18" s="122">
        <f>C16-C17</f>
        <v>3783760.3799999994</v>
      </c>
      <c r="D18" s="520"/>
      <c r="F18" s="22"/>
    </row>
    <row r="19" spans="1:6" s="18" customFormat="1" ht="14.25">
      <c r="A19" s="421" t="s">
        <v>341</v>
      </c>
      <c r="B19" s="519" t="e">
        <f>'(6)Losses Incurred YTD10'!H18</f>
        <v>#REF!</v>
      </c>
      <c r="C19" s="122" t="s">
        <v>261</v>
      </c>
      <c r="D19" s="520"/>
      <c r="F19" s="22"/>
    </row>
    <row r="20" spans="1:6" s="18" customFormat="1" ht="14.25">
      <c r="A20" s="421" t="s">
        <v>342</v>
      </c>
      <c r="B20" s="521">
        <v>5587477</v>
      </c>
      <c r="C20" s="122"/>
      <c r="D20" s="520"/>
      <c r="F20" s="22"/>
    </row>
    <row r="21" spans="1:6" s="18" customFormat="1" ht="14.25">
      <c r="A21" s="421" t="s">
        <v>343</v>
      </c>
      <c r="B21" s="524"/>
      <c r="C21" s="522" t="e">
        <f>B19-B20</f>
        <v>#REF!</v>
      </c>
      <c r="D21" s="520"/>
      <c r="F21" s="22" t="s">
        <v>360</v>
      </c>
    </row>
    <row r="22" spans="1:6" s="18" customFormat="1" ht="15">
      <c r="A22" s="420" t="s">
        <v>344</v>
      </c>
      <c r="B22" s="519"/>
      <c r="C22" s="122"/>
      <c r="D22" s="520" t="e">
        <f>C18+C21</f>
        <v>#REF!</v>
      </c>
      <c r="E22" s="48" t="e">
        <f>+'(6)Losses Incurred YTD10'!H30</f>
        <v>#REF!</v>
      </c>
      <c r="F22" s="22"/>
    </row>
    <row r="23" spans="1:6" s="18" customFormat="1" ht="14.25">
      <c r="A23" s="421" t="s">
        <v>345</v>
      </c>
      <c r="B23" s="519"/>
      <c r="C23" s="122">
        <f>+'[1]TB03-31-04(Final)'!G486</f>
        <v>292907.87</v>
      </c>
      <c r="D23" s="520"/>
      <c r="E23" s="109"/>
      <c r="F23" s="22">
        <v>51200</v>
      </c>
    </row>
    <row r="24" spans="1:6" s="18" customFormat="1" ht="14.25">
      <c r="A24" s="421" t="s">
        <v>346</v>
      </c>
      <c r="B24" s="519"/>
      <c r="C24" s="522">
        <f>+'[1]TB03-31-04(Final)'!G547</f>
        <v>139421.58999999997</v>
      </c>
      <c r="D24" s="520"/>
      <c r="F24" s="22">
        <v>51300</v>
      </c>
    </row>
    <row r="25" spans="1:6" s="18" customFormat="1" ht="15">
      <c r="A25" s="420" t="s">
        <v>347</v>
      </c>
      <c r="B25" s="519"/>
      <c r="C25" s="122">
        <f>C23+C24</f>
        <v>432329.45999999996</v>
      </c>
      <c r="D25" s="520"/>
      <c r="F25" s="22"/>
    </row>
    <row r="26" spans="1:6" s="18" customFormat="1" ht="14.25">
      <c r="A26" s="421" t="s">
        <v>348</v>
      </c>
      <c r="B26" s="519" t="e">
        <f>'(4)Loss Expenses YTD12'!H18</f>
        <v>#REF!</v>
      </c>
      <c r="C26" s="122"/>
      <c r="D26" s="520"/>
      <c r="F26" s="22"/>
    </row>
    <row r="27" spans="1:9" s="18" customFormat="1" ht="14.25">
      <c r="A27" s="421" t="s">
        <v>349</v>
      </c>
      <c r="B27" s="521">
        <v>474837</v>
      </c>
      <c r="C27" s="122"/>
      <c r="D27" s="520"/>
      <c r="F27" s="22"/>
      <c r="I27" s="122">
        <f>31050</f>
        <v>31050</v>
      </c>
    </row>
    <row r="28" spans="1:9" s="18" customFormat="1" ht="14.25">
      <c r="A28" s="421" t="s">
        <v>350</v>
      </c>
      <c r="B28" s="519"/>
      <c r="C28" s="522" t="e">
        <f>B26-B27</f>
        <v>#REF!</v>
      </c>
      <c r="D28" s="520"/>
      <c r="F28" s="22" t="s">
        <v>361</v>
      </c>
      <c r="I28" s="122">
        <f>20347.1</f>
        <v>20347.1</v>
      </c>
    </row>
    <row r="29" spans="1:9" s="18" customFormat="1" ht="15">
      <c r="A29" s="420" t="s">
        <v>351</v>
      </c>
      <c r="B29" s="519"/>
      <c r="C29" s="122"/>
      <c r="D29" s="523" t="e">
        <f>C25+C28</f>
        <v>#REF!</v>
      </c>
      <c r="E29" s="48" t="e">
        <f>+'(4)Loss Expenses YTD12'!H30</f>
        <v>#REF!</v>
      </c>
      <c r="F29" s="22"/>
      <c r="I29" s="122">
        <f>6478.27</f>
        <v>6478.27</v>
      </c>
    </row>
    <row r="30" spans="1:9" s="18" customFormat="1" ht="15">
      <c r="A30" s="420" t="s">
        <v>352</v>
      </c>
      <c r="B30" s="519"/>
      <c r="C30" s="122"/>
      <c r="D30" s="525" t="e">
        <f>D22+D29</f>
        <v>#REF!</v>
      </c>
      <c r="F30" s="22"/>
      <c r="I30" s="122">
        <f>23108.63</f>
        <v>23108.63</v>
      </c>
    </row>
    <row r="31" spans="1:9" s="18" customFormat="1" ht="14.25">
      <c r="A31" s="421" t="s">
        <v>353</v>
      </c>
      <c r="B31" s="519"/>
      <c r="C31" s="122">
        <f>23108.63+6478.27+20347.1+10350+20700+1200+600</f>
        <v>82784</v>
      </c>
      <c r="D31" s="520"/>
      <c r="F31" s="22"/>
      <c r="I31" s="122">
        <f>SUM(I27:I30)</f>
        <v>80984</v>
      </c>
    </row>
    <row r="32" spans="1:6" s="18" customFormat="1" ht="14.25">
      <c r="A32" s="421" t="s">
        <v>354</v>
      </c>
      <c r="B32" s="519">
        <f>+'Balance Sheet-1'!D33</f>
        <v>50945.26</v>
      </c>
      <c r="C32" s="122"/>
      <c r="D32" s="520"/>
      <c r="F32" s="22">
        <v>24000</v>
      </c>
    </row>
    <row r="33" spans="1:6" s="18" customFormat="1" ht="14.25">
      <c r="A33" s="421" t="s">
        <v>355</v>
      </c>
      <c r="B33" s="521">
        <v>46320</v>
      </c>
      <c r="C33" s="122" t="s">
        <v>261</v>
      </c>
      <c r="D33" s="520"/>
      <c r="F33" s="22"/>
    </row>
    <row r="34" spans="1:6" s="18" customFormat="1" ht="14.25">
      <c r="A34" s="421" t="s">
        <v>356</v>
      </c>
      <c r="B34" s="519"/>
      <c r="C34" s="522">
        <f>B32-B33</f>
        <v>4625.260000000002</v>
      </c>
      <c r="D34" s="520"/>
      <c r="F34" s="22"/>
    </row>
    <row r="35" spans="1:6" s="18" customFormat="1" ht="14.25" hidden="1">
      <c r="A35" s="421"/>
      <c r="B35" s="519"/>
      <c r="C35" s="122"/>
      <c r="D35" s="520"/>
      <c r="F35" s="22"/>
    </row>
    <row r="36" spans="1:10" s="18" customFormat="1" ht="15" customHeight="1">
      <c r="A36" s="420" t="s">
        <v>357</v>
      </c>
      <c r="B36" s="519"/>
      <c r="C36" s="122" t="s">
        <v>261</v>
      </c>
      <c r="D36" s="520">
        <f>SUM(C31:C35)</f>
        <v>87409.26000000001</v>
      </c>
      <c r="E36" s="253">
        <f>+'[1]TB03-31-04(Final)'!G644</f>
        <v>22313.94</v>
      </c>
      <c r="F36" s="22">
        <v>64000</v>
      </c>
      <c r="I36" s="18">
        <v>97598.57</v>
      </c>
      <c r="J36" s="114">
        <f>+D36-I36</f>
        <v>-10189.309999999998</v>
      </c>
    </row>
    <row r="37" spans="1:6" s="18" customFormat="1" ht="13.5" customHeight="1">
      <c r="A37" s="412" t="s">
        <v>99</v>
      </c>
      <c r="B37" s="519"/>
      <c r="C37" s="127"/>
      <c r="D37" s="526">
        <f>+'[1]TB03-31-04(Final)'!G630</f>
        <v>528557.35</v>
      </c>
      <c r="F37" s="22" t="s">
        <v>362</v>
      </c>
    </row>
    <row r="38" spans="1:6" s="18" customFormat="1" ht="13.5" customHeight="1">
      <c r="A38" s="412" t="s">
        <v>216</v>
      </c>
      <c r="B38" s="519"/>
      <c r="C38" s="122">
        <f>+'[1]TB03-31-04(Final)'!G635+'[1]TB03-31-04(Final)'!G639+'[1]TB03-31-04(Final)'!G647</f>
        <v>108491.93</v>
      </c>
      <c r="D38" s="520"/>
      <c r="F38" s="22" t="s">
        <v>363</v>
      </c>
    </row>
    <row r="39" spans="1:9" s="18" customFormat="1" ht="14.25">
      <c r="A39" s="412" t="s">
        <v>145</v>
      </c>
      <c r="B39" s="519"/>
      <c r="C39" s="569">
        <f>+'[1]TB03-31-04(Final)'!G1005-'(8)Earned Incurred YTD6'!C43</f>
        <v>995251.8099999997</v>
      </c>
      <c r="D39" s="520"/>
      <c r="E39" s="120"/>
      <c r="F39" s="22" t="s">
        <v>364</v>
      </c>
      <c r="I39" s="148"/>
    </row>
    <row r="40" spans="1:9" s="18" customFormat="1" ht="15">
      <c r="A40" s="411" t="s">
        <v>146</v>
      </c>
      <c r="B40" s="519"/>
      <c r="C40" s="570">
        <f>SUM(C38:C39)-1</f>
        <v>1103742.7399999998</v>
      </c>
      <c r="D40" s="520"/>
      <c r="E40" s="120"/>
      <c r="F40" s="22"/>
      <c r="I40" s="148"/>
    </row>
    <row r="41" spans="1:6" s="18" customFormat="1" ht="14.25">
      <c r="A41" s="412" t="s">
        <v>354</v>
      </c>
      <c r="B41" s="519">
        <f>-'[1]TB03-31-04(Final)'!G217</f>
        <v>330321.9</v>
      </c>
      <c r="C41" s="122"/>
      <c r="D41" s="520"/>
      <c r="F41" s="22"/>
    </row>
    <row r="42" spans="1:6" s="18" customFormat="1" ht="14.25">
      <c r="A42" s="412" t="s">
        <v>355</v>
      </c>
      <c r="B42" s="521">
        <v>356304</v>
      </c>
      <c r="C42" s="122" t="s">
        <v>261</v>
      </c>
      <c r="D42" s="520"/>
      <c r="F42" s="22"/>
    </row>
    <row r="43" spans="1:6" s="18" customFormat="1" ht="14.25">
      <c r="A43" s="412" t="s">
        <v>147</v>
      </c>
      <c r="B43" s="519"/>
      <c r="C43" s="522">
        <f>B41-B42</f>
        <v>-25982.099999999977</v>
      </c>
      <c r="D43" s="520"/>
      <c r="E43" s="238">
        <f>+C38+C39+C43</f>
        <v>1077761.6399999997</v>
      </c>
      <c r="F43" s="22"/>
    </row>
    <row r="44" spans="1:6" s="18" customFormat="1" ht="15">
      <c r="A44" s="411" t="s">
        <v>215</v>
      </c>
      <c r="B44" s="519"/>
      <c r="C44" s="122"/>
      <c r="D44" s="523">
        <f>SUM(C40:C43)+2</f>
        <v>1077762.6399999997</v>
      </c>
      <c r="E44" s="120"/>
      <c r="F44" s="22"/>
    </row>
    <row r="45" spans="1:6" s="18" customFormat="1" ht="15">
      <c r="A45" s="411" t="s">
        <v>148</v>
      </c>
      <c r="B45" s="519"/>
      <c r="C45" s="122"/>
      <c r="D45" s="568">
        <f>SUM(D36:D44)</f>
        <v>1693729.2499999995</v>
      </c>
      <c r="E45" s="120"/>
      <c r="F45" s="22"/>
    </row>
    <row r="46" spans="1:10" s="18" customFormat="1" ht="30">
      <c r="A46" s="411" t="s">
        <v>149</v>
      </c>
      <c r="B46" s="519"/>
      <c r="C46" s="122"/>
      <c r="D46" s="527" t="e">
        <f>SUM(D30:D44)</f>
        <v>#REF!</v>
      </c>
      <c r="F46" s="22"/>
      <c r="I46" s="18">
        <v>22008562.28</v>
      </c>
      <c r="J46" s="114" t="e">
        <f>+D46-I46</f>
        <v>#REF!</v>
      </c>
    </row>
    <row r="47" spans="1:6" s="18" customFormat="1" ht="15">
      <c r="A47" s="420" t="s">
        <v>19</v>
      </c>
      <c r="B47" s="519"/>
      <c r="C47" s="122"/>
      <c r="D47" s="604" t="e">
        <f>D15-D46</f>
        <v>#REF!</v>
      </c>
      <c r="F47" s="22"/>
    </row>
    <row r="48" spans="1:6" s="18" customFormat="1" ht="14.25">
      <c r="A48" s="421" t="s">
        <v>197</v>
      </c>
      <c r="B48" s="519"/>
      <c r="C48" s="122">
        <f>-'[1]TB03-31-04(Final)'!G356-'[1]TB03-31-04(Final)'!G343-'[1]TB03-31-04(Final)'!F347+'(8)Earned Incurred YTD6'!B50</f>
        <v>44581.64</v>
      </c>
      <c r="D48" s="520"/>
      <c r="F48" s="22" t="s">
        <v>366</v>
      </c>
    </row>
    <row r="49" spans="1:6" s="18" customFormat="1" ht="14.25">
      <c r="A49" s="421" t="s">
        <v>371</v>
      </c>
      <c r="B49" s="519">
        <f>+'[1]TB03-31-04(Final)'!G25</f>
        <v>10038.47</v>
      </c>
      <c r="C49" s="122"/>
      <c r="D49" s="520"/>
      <c r="F49" s="22">
        <v>12150</v>
      </c>
    </row>
    <row r="50" spans="1:6" s="18" customFormat="1" ht="14.25">
      <c r="A50" s="421" t="s">
        <v>372</v>
      </c>
      <c r="B50" s="521">
        <v>17084</v>
      </c>
      <c r="C50" s="122" t="s">
        <v>261</v>
      </c>
      <c r="D50" s="520"/>
      <c r="F50" s="22"/>
    </row>
    <row r="51" spans="1:6" s="18" customFormat="1" ht="15">
      <c r="A51" s="421" t="s">
        <v>373</v>
      </c>
      <c r="B51" s="519"/>
      <c r="C51" s="522">
        <f>B49-B50</f>
        <v>-7045.530000000001</v>
      </c>
      <c r="D51" s="525"/>
      <c r="F51" s="22"/>
    </row>
    <row r="52" spans="1:9" s="18" customFormat="1" ht="15">
      <c r="A52" s="420" t="s">
        <v>198</v>
      </c>
      <c r="B52" s="519"/>
      <c r="C52" s="122"/>
      <c r="D52" s="528">
        <f>C48+C51</f>
        <v>37536.11</v>
      </c>
      <c r="E52" s="253">
        <f>+'[1]TB03-31-04(Final)'!G348</f>
        <v>-29950.73</v>
      </c>
      <c r="F52" s="22" t="s">
        <v>365</v>
      </c>
      <c r="I52" s="148"/>
    </row>
    <row r="53" spans="1:10" s="18" customFormat="1" ht="15">
      <c r="A53" s="422"/>
      <c r="B53" s="540"/>
      <c r="C53" s="359"/>
      <c r="D53" s="544"/>
      <c r="F53" s="22"/>
      <c r="J53" s="114"/>
    </row>
    <row r="54" spans="1:9" s="18" customFormat="1" ht="15">
      <c r="A54" s="423" t="s">
        <v>20</v>
      </c>
      <c r="B54" s="542"/>
      <c r="C54" s="543"/>
      <c r="D54" s="545" t="e">
        <f>D47+D52</f>
        <v>#REF!</v>
      </c>
      <c r="F54" s="22" t="s">
        <v>21</v>
      </c>
      <c r="I54" s="127"/>
    </row>
    <row r="55" spans="1:9" s="18" customFormat="1" ht="15.75" customHeight="1">
      <c r="A55" s="47"/>
      <c r="B55" s="359"/>
      <c r="C55" s="359"/>
      <c r="D55" s="25">
        <v>2596189.92</v>
      </c>
      <c r="E55" s="120" t="e">
        <f>+D54-#REF!</f>
        <v>#REF!</v>
      </c>
      <c r="F55" s="344" t="e">
        <f>+'Income Statement-2'!#REF!</f>
        <v>#REF!</v>
      </c>
      <c r="I55" s="127"/>
    </row>
    <row r="56" spans="2:10" s="18" customFormat="1" ht="20.25" customHeight="1">
      <c r="B56" s="495"/>
      <c r="C56" s="495"/>
      <c r="D56" s="495" t="e">
        <f>+D54+D55</f>
        <v>#REF!</v>
      </c>
      <c r="E56" s="120" t="e">
        <f>+#REF!+D56</f>
        <v>#REF!</v>
      </c>
      <c r="F56" s="22"/>
      <c r="I56" s="114"/>
      <c r="J56" s="114"/>
    </row>
    <row r="57" spans="1:10" s="18" customFormat="1" ht="14.25">
      <c r="A57" s="940"/>
      <c r="B57" s="941"/>
      <c r="C57" s="941"/>
      <c r="D57" s="941"/>
      <c r="F57" s="22"/>
      <c r="J57" s="114"/>
    </row>
    <row r="58" spans="1:6" s="18" customFormat="1" ht="15">
      <c r="A58" s="144"/>
      <c r="B58" s="546"/>
      <c r="C58" s="547"/>
      <c r="D58" s="547"/>
      <c r="F58" s="22"/>
    </row>
    <row r="59" spans="1:6" s="18" customFormat="1" ht="15">
      <c r="A59" s="942" t="s">
        <v>75</v>
      </c>
      <c r="B59" s="942"/>
      <c r="C59" s="942"/>
      <c r="D59" s="547"/>
      <c r="F59" s="22"/>
    </row>
    <row r="60" spans="1:6" s="18" customFormat="1" ht="15">
      <c r="A60" s="47"/>
      <c r="B60" s="495"/>
      <c r="C60" s="548"/>
      <c r="D60" s="548"/>
      <c r="F60" s="22"/>
    </row>
    <row r="61" spans="1:6" s="18" customFormat="1" ht="15">
      <c r="A61" s="47"/>
      <c r="B61" s="495"/>
      <c r="C61" s="548"/>
      <c r="D61" s="548"/>
      <c r="F61" s="22"/>
    </row>
    <row r="62" spans="1:6" s="18" customFormat="1" ht="15">
      <c r="A62" s="47"/>
      <c r="B62" s="495"/>
      <c r="C62" s="548"/>
      <c r="D62" s="548"/>
      <c r="F62" s="22"/>
    </row>
    <row r="63" spans="1:6" s="18" customFormat="1" ht="15">
      <c r="A63" s="47"/>
      <c r="B63" s="495"/>
      <c r="C63" s="548"/>
      <c r="D63" s="548"/>
      <c r="F63" s="22"/>
    </row>
    <row r="64" spans="1:6" s="18" customFormat="1" ht="15">
      <c r="A64" s="115"/>
      <c r="B64" s="495"/>
      <c r="C64" s="549"/>
      <c r="D64" s="549"/>
      <c r="F64" s="22"/>
    </row>
    <row r="65" spans="1:6" s="18" customFormat="1" ht="15">
      <c r="A65" s="115"/>
      <c r="B65" s="359"/>
      <c r="C65" s="549"/>
      <c r="D65" s="549"/>
      <c r="F65" s="22"/>
    </row>
    <row r="66" spans="1:6" s="18" customFormat="1" ht="15">
      <c r="A66" s="115"/>
      <c r="B66" s="495"/>
      <c r="C66" s="549"/>
      <c r="D66" s="549"/>
      <c r="F66" s="22"/>
    </row>
    <row r="67" spans="1:6" s="18" customFormat="1" ht="15">
      <c r="A67" s="115"/>
      <c r="B67" s="495"/>
      <c r="C67" s="549"/>
      <c r="D67" s="549"/>
      <c r="F67" s="22"/>
    </row>
    <row r="68" spans="2:6" s="18" customFormat="1" ht="15">
      <c r="B68" s="495"/>
      <c r="C68" s="549"/>
      <c r="D68" s="549"/>
      <c r="F68" s="22"/>
    </row>
    <row r="69" spans="1:6" s="18" customFormat="1" ht="15">
      <c r="A69" s="115"/>
      <c r="B69" s="495"/>
      <c r="C69" s="549"/>
      <c r="D69" s="495"/>
      <c r="F69" s="22"/>
    </row>
    <row r="70" spans="1:6" s="18" customFormat="1" ht="15">
      <c r="A70" s="115"/>
      <c r="B70" s="495"/>
      <c r="C70" s="549"/>
      <c r="D70" s="495"/>
      <c r="F70" s="22"/>
    </row>
    <row r="71" spans="1:6" s="18" customFormat="1" ht="15">
      <c r="A71" s="121"/>
      <c r="B71" s="495"/>
      <c r="C71" s="549"/>
      <c r="D71" s="495"/>
      <c r="F71" s="22"/>
    </row>
    <row r="72" spans="1:6" s="18" customFormat="1" ht="15">
      <c r="A72" s="115"/>
      <c r="B72" s="359"/>
      <c r="C72" s="549"/>
      <c r="D72" s="550"/>
      <c r="F72" s="22"/>
    </row>
    <row r="73" spans="1:6" s="18" customFormat="1" ht="15">
      <c r="A73" s="115"/>
      <c r="B73" s="549"/>
      <c r="C73" s="551"/>
      <c r="D73" s="359"/>
      <c r="F73" s="22"/>
    </row>
    <row r="74" spans="1:6" s="18" customFormat="1" ht="14.25">
      <c r="A74" s="47"/>
      <c r="B74" s="359"/>
      <c r="C74" s="359"/>
      <c r="D74" s="359"/>
      <c r="F74" s="22"/>
    </row>
    <row r="75" spans="1:6" s="18" customFormat="1" ht="14.25">
      <c r="A75" s="47"/>
      <c r="B75" s="359"/>
      <c r="C75" s="359"/>
      <c r="D75" s="359"/>
      <c r="F75" s="22"/>
    </row>
    <row r="76" spans="1:6" s="18" customFormat="1" ht="14.25">
      <c r="A76" s="47"/>
      <c r="B76" s="359"/>
      <c r="C76" s="359"/>
      <c r="D76" s="359"/>
      <c r="F76" s="22"/>
    </row>
    <row r="77" spans="1:6" s="18" customFormat="1" ht="14.25">
      <c r="A77" s="47"/>
      <c r="B77" s="359"/>
      <c r="C77" s="359"/>
      <c r="D77" s="359"/>
      <c r="F77" s="22"/>
    </row>
    <row r="78" spans="1:6" s="18" customFormat="1" ht="14.25">
      <c r="A78" s="47"/>
      <c r="B78" s="359"/>
      <c r="C78" s="359"/>
      <c r="D78" s="359"/>
      <c r="F78" s="22"/>
    </row>
    <row r="79" spans="1:6" s="18" customFormat="1" ht="14.25">
      <c r="A79" s="47"/>
      <c r="B79" s="359"/>
      <c r="C79" s="359"/>
      <c r="D79" s="359"/>
      <c r="F79" s="22"/>
    </row>
    <row r="80" spans="1:6" s="18" customFormat="1" ht="14.25">
      <c r="A80" s="47"/>
      <c r="B80" s="359"/>
      <c r="C80" s="359"/>
      <c r="D80" s="359"/>
      <c r="F80" s="22"/>
    </row>
    <row r="81" spans="1:6" s="18" customFormat="1" ht="14.25">
      <c r="A81" s="47"/>
      <c r="B81" s="359"/>
      <c r="C81" s="359"/>
      <c r="D81" s="359"/>
      <c r="F81" s="22"/>
    </row>
    <row r="82" spans="1:6" s="18" customFormat="1" ht="14.25">
      <c r="A82" s="47"/>
      <c r="B82" s="359"/>
      <c r="C82" s="359"/>
      <c r="D82" s="359"/>
      <c r="F82" s="22"/>
    </row>
    <row r="83" spans="1:6" s="18" customFormat="1" ht="14.25">
      <c r="A83" s="47"/>
      <c r="B83" s="359"/>
      <c r="C83" s="359"/>
      <c r="D83" s="359"/>
      <c r="F83" s="22"/>
    </row>
    <row r="84" spans="1:6" s="18" customFormat="1" ht="14.25">
      <c r="A84" s="47"/>
      <c r="B84" s="359"/>
      <c r="C84" s="359"/>
      <c r="D84" s="359"/>
      <c r="F84" s="22"/>
    </row>
    <row r="85" spans="1:6" s="18" customFormat="1" ht="14.25">
      <c r="A85" s="47"/>
      <c r="B85" s="495"/>
      <c r="C85" s="359"/>
      <c r="D85" s="495"/>
      <c r="F85" s="22"/>
    </row>
    <row r="86" spans="1:6" s="18" customFormat="1" ht="14.25">
      <c r="A86" s="47"/>
      <c r="B86" s="495"/>
      <c r="C86" s="495"/>
      <c r="D86" s="495"/>
      <c r="F86" s="22"/>
    </row>
    <row r="87" spans="1:6" s="18" customFormat="1" ht="14.25">
      <c r="A87" s="47"/>
      <c r="B87" s="495"/>
      <c r="C87" s="495"/>
      <c r="D87" s="495"/>
      <c r="F87" s="22"/>
    </row>
    <row r="88" spans="1:6" s="18" customFormat="1" ht="14.25">
      <c r="A88" s="47"/>
      <c r="B88" s="495"/>
      <c r="C88" s="495"/>
      <c r="D88" s="495"/>
      <c r="F88" s="22"/>
    </row>
    <row r="89" spans="1:6" s="18" customFormat="1" ht="14.25">
      <c r="A89" s="47"/>
      <c r="B89" s="495"/>
      <c r="C89" s="495"/>
      <c r="D89" s="495"/>
      <c r="F89" s="22"/>
    </row>
    <row r="90" spans="1:6" s="18" customFormat="1" ht="14.25">
      <c r="A90" s="47"/>
      <c r="B90" s="495"/>
      <c r="C90" s="495"/>
      <c r="D90" s="495"/>
      <c r="F90" s="22"/>
    </row>
    <row r="91" spans="1:6" s="18" customFormat="1" ht="14.25">
      <c r="A91" s="47"/>
      <c r="B91" s="495"/>
      <c r="C91" s="495"/>
      <c r="D91" s="495"/>
      <c r="F91" s="22"/>
    </row>
    <row r="92" spans="1:6" s="18" customFormat="1" ht="14.25">
      <c r="A92" s="47"/>
      <c r="B92" s="495"/>
      <c r="C92" s="495"/>
      <c r="D92" s="495"/>
      <c r="F92" s="22"/>
    </row>
    <row r="93" spans="1:6" s="18" customFormat="1" ht="14.25">
      <c r="A93" s="47"/>
      <c r="B93" s="495"/>
      <c r="C93" s="495"/>
      <c r="D93" s="495"/>
      <c r="F93" s="22"/>
    </row>
    <row r="94" spans="1:6" s="18" customFormat="1" ht="14.25">
      <c r="A94" s="47"/>
      <c r="B94" s="495"/>
      <c r="C94" s="495"/>
      <c r="D94" s="495"/>
      <c r="F94" s="22"/>
    </row>
    <row r="95" spans="1:6" s="18" customFormat="1" ht="14.25">
      <c r="A95" s="47"/>
      <c r="B95" s="495"/>
      <c r="C95" s="495"/>
      <c r="D95" s="495"/>
      <c r="F95" s="22"/>
    </row>
    <row r="96" spans="1:6" s="18" customFormat="1" ht="14.25">
      <c r="A96" s="47"/>
      <c r="B96" s="495"/>
      <c r="C96" s="495"/>
      <c r="D96" s="495"/>
      <c r="F96" s="22"/>
    </row>
    <row r="97" spans="1:6" s="18" customFormat="1" ht="14.25">
      <c r="A97" s="47"/>
      <c r="B97" s="495"/>
      <c r="C97" s="495"/>
      <c r="D97" s="495"/>
      <c r="F97" s="22"/>
    </row>
    <row r="98" spans="1:6" s="18" customFormat="1" ht="14.25">
      <c r="A98" s="47"/>
      <c r="B98" s="495"/>
      <c r="C98" s="495"/>
      <c r="D98" s="495"/>
      <c r="F98" s="22"/>
    </row>
    <row r="99" spans="1:6" s="18" customFormat="1" ht="14.25">
      <c r="A99" s="47"/>
      <c r="B99" s="495"/>
      <c r="C99" s="495"/>
      <c r="D99" s="495"/>
      <c r="F99" s="22"/>
    </row>
    <row r="100" spans="1:6" s="18" customFormat="1" ht="14.25">
      <c r="A100" s="47"/>
      <c r="B100" s="495"/>
      <c r="C100" s="495"/>
      <c r="D100" s="495"/>
      <c r="F100" s="22"/>
    </row>
    <row r="101" spans="1:6" s="18" customFormat="1" ht="14.25">
      <c r="A101" s="47"/>
      <c r="B101" s="495"/>
      <c r="C101" s="495"/>
      <c r="D101" s="495"/>
      <c r="F101" s="22"/>
    </row>
    <row r="102" spans="1:6" s="18" customFormat="1" ht="14.25">
      <c r="A102" s="47"/>
      <c r="B102" s="495"/>
      <c r="C102" s="495"/>
      <c r="D102" s="495"/>
      <c r="F102" s="22"/>
    </row>
    <row r="103" spans="1:6" s="18" customFormat="1" ht="14.25">
      <c r="A103" s="47"/>
      <c r="B103" s="495"/>
      <c r="C103" s="495"/>
      <c r="D103" s="495"/>
      <c r="F103" s="22"/>
    </row>
    <row r="104" spans="1:6" s="18" customFormat="1" ht="14.25">
      <c r="A104" s="47"/>
      <c r="B104" s="495"/>
      <c r="C104" s="495"/>
      <c r="D104" s="495"/>
      <c r="F104" s="22"/>
    </row>
    <row r="105" spans="1:6" s="18" customFormat="1" ht="14.25">
      <c r="A105" s="47"/>
      <c r="B105" s="552"/>
      <c r="C105" s="495"/>
      <c r="D105" s="552"/>
      <c r="F105" s="22"/>
    </row>
    <row r="106" spans="1:6" ht="14.25">
      <c r="A106" s="47"/>
      <c r="F106" s="22"/>
    </row>
    <row r="107" spans="1:6" ht="14.25">
      <c r="A107" s="47"/>
      <c r="F107" s="22"/>
    </row>
    <row r="108" spans="1:6" ht="14.25">
      <c r="A108" s="47"/>
      <c r="F108" s="22"/>
    </row>
    <row r="109" ht="14.25">
      <c r="A109" s="47"/>
    </row>
    <row r="110" ht="14.25">
      <c r="A110" s="47"/>
    </row>
    <row r="111" ht="14.25">
      <c r="A111" s="47"/>
    </row>
    <row r="112" ht="14.25">
      <c r="A112" s="47"/>
    </row>
    <row r="113" ht="14.25">
      <c r="A113" s="47"/>
    </row>
    <row r="114" ht="12.75">
      <c r="A114" s="49"/>
    </row>
    <row r="115" ht="12.75">
      <c r="A115" s="49"/>
    </row>
    <row r="116" ht="12.75">
      <c r="A116" s="49"/>
    </row>
    <row r="117" ht="12.75">
      <c r="A117" s="49"/>
    </row>
    <row r="118" ht="12.75">
      <c r="A118" s="49"/>
    </row>
    <row r="119" ht="12.75">
      <c r="A119" s="49"/>
    </row>
    <row r="120" ht="12.75">
      <c r="A120" s="49"/>
    </row>
    <row r="121" ht="12.75">
      <c r="A121" s="49"/>
    </row>
    <row r="122" ht="12.75">
      <c r="A122" s="49"/>
    </row>
    <row r="123" ht="12.75">
      <c r="A123" s="49"/>
    </row>
    <row r="124" ht="12.75">
      <c r="A124" s="49"/>
    </row>
    <row r="125" ht="12.75">
      <c r="A125" s="49"/>
    </row>
    <row r="126" ht="12.75">
      <c r="A126" s="49"/>
    </row>
    <row r="127" ht="12.75">
      <c r="A127" s="49"/>
    </row>
    <row r="128" ht="12.75">
      <c r="A128" s="49"/>
    </row>
    <row r="129" ht="12.75">
      <c r="A129" s="49"/>
    </row>
    <row r="130" ht="12.75">
      <c r="A130" s="49"/>
    </row>
    <row r="131" ht="12.75">
      <c r="A131" s="49"/>
    </row>
    <row r="132" ht="12.75">
      <c r="A132" s="49"/>
    </row>
    <row r="133" ht="12.75">
      <c r="A133" s="49"/>
    </row>
    <row r="134" ht="12.75">
      <c r="A134" s="49"/>
    </row>
    <row r="135" ht="12.75">
      <c r="A135" s="49"/>
    </row>
    <row r="136" ht="12.75">
      <c r="A136" s="49"/>
    </row>
    <row r="137" ht="12.75">
      <c r="A137" s="49"/>
    </row>
    <row r="138" ht="12.75">
      <c r="A138" s="49"/>
    </row>
    <row r="139" ht="12.75">
      <c r="A139" s="49"/>
    </row>
    <row r="140" ht="12.75">
      <c r="A140" s="49"/>
    </row>
    <row r="141" ht="12.75">
      <c r="A141" s="49"/>
    </row>
    <row r="142" ht="12.75">
      <c r="A142" s="49"/>
    </row>
    <row r="143" ht="12.75">
      <c r="A143" s="49"/>
    </row>
    <row r="144" ht="12.75">
      <c r="A144" s="49"/>
    </row>
    <row r="145" ht="12.75">
      <c r="A145" s="49"/>
    </row>
    <row r="146" ht="12.75">
      <c r="A146" s="49"/>
    </row>
    <row r="147" ht="12.75">
      <c r="A147" s="49"/>
    </row>
    <row r="148" ht="12.75">
      <c r="A148" s="49"/>
    </row>
    <row r="149" ht="12.75">
      <c r="A149" s="49"/>
    </row>
    <row r="150" ht="12.75">
      <c r="A150" s="49"/>
    </row>
    <row r="151" ht="12.75">
      <c r="A151" s="49"/>
    </row>
    <row r="152" ht="12.75">
      <c r="A152" s="49"/>
    </row>
    <row r="153" ht="12.75">
      <c r="A153" s="49"/>
    </row>
    <row r="154" ht="12.75">
      <c r="A154" s="49"/>
    </row>
  </sheetData>
  <mergeCells count="69">
    <mergeCell ref="A59:C59"/>
    <mergeCell ref="A5:D5"/>
    <mergeCell ref="A1:D1"/>
    <mergeCell ref="A2:D2"/>
    <mergeCell ref="A3:D3"/>
    <mergeCell ref="A4:D4"/>
    <mergeCell ref="E1:H1"/>
    <mergeCell ref="M1:P1"/>
    <mergeCell ref="Q1:T1"/>
    <mergeCell ref="A57:D57"/>
    <mergeCell ref="U1:X1"/>
    <mergeCell ref="Y1:AB1"/>
    <mergeCell ref="AC1:AF1"/>
    <mergeCell ref="AG1:AJ1"/>
    <mergeCell ref="AK1:AN1"/>
    <mergeCell ref="AO1:AR1"/>
    <mergeCell ref="AS1:AV1"/>
    <mergeCell ref="AW1:AZ1"/>
    <mergeCell ref="BA1:BD1"/>
    <mergeCell ref="BE1:BH1"/>
    <mergeCell ref="BI1:BL1"/>
    <mergeCell ref="BM1:BP1"/>
    <mergeCell ref="BQ1:BT1"/>
    <mergeCell ref="BU1:BX1"/>
    <mergeCell ref="BY1:CB1"/>
    <mergeCell ref="CC1:CF1"/>
    <mergeCell ref="CG1:CJ1"/>
    <mergeCell ref="CK1:CN1"/>
    <mergeCell ref="CO1:CR1"/>
    <mergeCell ref="CS1:CV1"/>
    <mergeCell ref="CW1:CZ1"/>
    <mergeCell ref="DA1:DD1"/>
    <mergeCell ref="DE1:DH1"/>
    <mergeCell ref="DI1:DL1"/>
    <mergeCell ref="DM1:DP1"/>
    <mergeCell ref="DQ1:DT1"/>
    <mergeCell ref="DU1:DX1"/>
    <mergeCell ref="DY1:EB1"/>
    <mergeCell ref="EC1:EF1"/>
    <mergeCell ref="EG1:EJ1"/>
    <mergeCell ref="EK1:EN1"/>
    <mergeCell ref="EO1:ER1"/>
    <mergeCell ref="ES1:EV1"/>
    <mergeCell ref="EW1:EZ1"/>
    <mergeCell ref="FA1:FD1"/>
    <mergeCell ref="FE1:FH1"/>
    <mergeCell ref="FI1:FL1"/>
    <mergeCell ref="FM1:FP1"/>
    <mergeCell ref="FQ1:FT1"/>
    <mergeCell ref="FU1:FX1"/>
    <mergeCell ref="FY1:GB1"/>
    <mergeCell ref="GC1:GF1"/>
    <mergeCell ref="GG1:GJ1"/>
    <mergeCell ref="GK1:GN1"/>
    <mergeCell ref="GO1:GR1"/>
    <mergeCell ref="GS1:GV1"/>
    <mergeCell ref="GW1:GZ1"/>
    <mergeCell ref="HA1:HD1"/>
    <mergeCell ref="HE1:HH1"/>
    <mergeCell ref="HI1:HL1"/>
    <mergeCell ref="HM1:HP1"/>
    <mergeCell ref="HQ1:HT1"/>
    <mergeCell ref="IK1:IN1"/>
    <mergeCell ref="IO1:IR1"/>
    <mergeCell ref="IS1:IV1"/>
    <mergeCell ref="HU1:HX1"/>
    <mergeCell ref="HY1:IB1"/>
    <mergeCell ref="IC1:IF1"/>
    <mergeCell ref="IG1:IJ1"/>
  </mergeCells>
  <printOptions horizontalCentered="1"/>
  <pageMargins left="0.75" right="0.93" top="0.85" bottom="1" header="0.5" footer="0.5"/>
  <pageSetup horizontalDpi="600" verticalDpi="600" orientation="portrait" scale="80" r:id="rId1"/>
  <headerFooter alignWithMargins="0">
    <oddFooter>&amp;CPage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STATION35</dc:creator>
  <cp:keywords/>
  <dc:description/>
  <cp:lastModifiedBy>Akleema Satar</cp:lastModifiedBy>
  <cp:lastPrinted>2005-05-11T19:48:48Z</cp:lastPrinted>
  <dcterms:created xsi:type="dcterms:W3CDTF">1999-07-28T13:02:54Z</dcterms:created>
  <dcterms:modified xsi:type="dcterms:W3CDTF">2005-05-12T14:46:17Z</dcterms:modified>
  <cp:category/>
  <cp:version/>
  <cp:contentType/>
  <cp:contentStatus/>
</cp:coreProperties>
</file>